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comments/comment1.xml" ContentType="application/vnd.openxmlformats-officedocument.spreadsheetml.comments+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Dashboard" sheetId="2" state="visible" r:id="rId2"/>
    <sheet xmlns:r="http://schemas.openxmlformats.org/officeDocument/2006/relationships" name="Project" sheetId="3" state="visible" r:id="rId3"/>
    <sheet xmlns:r="http://schemas.openxmlformats.org/officeDocument/2006/relationships" name="Finish Schedule" sheetId="4" state="visible" r:id="rId4"/>
    <sheet xmlns:r="http://schemas.openxmlformats.org/officeDocument/2006/relationships" name="Allowances" sheetId="5" state="visible" r:id="rId5"/>
    <sheet xmlns:r="http://schemas.openxmlformats.org/officeDocument/2006/relationships" name="Change Orders" sheetId="6" state="visible" r:id="rId6"/>
    <sheet xmlns:r="http://schemas.openxmlformats.org/officeDocument/2006/relationships" name="Client Sign-Off" sheetId="7" state="visible" r:id="rId7"/>
    <sheet xmlns:r="http://schemas.openxmlformats.org/officeDocument/2006/relationships" name="Lists" sheetId="8" state="visible" r:id="rId8"/>
  </sheets>
  <definedNames>
    <definedName name="_xlnm._FilterDatabase" localSheetId="3" hidden="1">'Finish Schedule'!$A$5:$AD$305</definedName>
    <definedName name="_xlnm.Print_Titles" localSheetId="3">'Finish Schedule'!$4:$5</definedName>
    <definedName name="_xlnm._FilterDatabase" localSheetId="5" hidden="1">'Change Orders'!$A$7:$P$107</definedName>
    <definedName name="_xlnm.Print_Titles" localSheetId="5">'Change Orders'!$7:$7</definedName>
    <definedName name="_xlnm.Print_Area" localSheetId="6">'Client Sign-Off'!$A$1:$L$53</definedName>
  </definedNames>
  <calcPr calcId="124519" fullCalcOnLoad="1"/>
</workbook>
</file>

<file path=xl/styles.xml><?xml version="1.0" encoding="utf-8"?>
<styleSheet xmlns="http://schemas.openxmlformats.org/spreadsheetml/2006/main">
  <numFmts count="6">
    <numFmt numFmtId="164" formatCode="mmm d, yyyy"/>
    <numFmt numFmtId="165" formatCode="$#,##0;-$#,##0;&quot;-&quot;"/>
    <numFmt numFmtId="166" formatCode="+$#,##0;-$#,##0;$0"/>
    <numFmt numFmtId="167" formatCode="#,##0.##"/>
    <numFmt numFmtId="168" formatCode="$#,##0.00;-$#,##0.00;&quot;-&quot;"/>
    <numFmt numFmtId="169" formatCode="+0%;-0%;0%"/>
  </numFmts>
  <fonts count="33">
    <font>
      <name val="Calibri"/>
      <family val="2"/>
      <color theme="1"/>
      <sz val="11"/>
      <scheme val="minor"/>
    </font>
    <font>
      <name val="Arial"/>
      <b val="1"/>
      <color rgb="FF1B2A41"/>
      <sz val="16"/>
    </font>
    <font>
      <name val="Arial"/>
      <i val="1"/>
      <color rgb="FF6B6B6B"/>
      <sz val="10"/>
    </font>
    <font>
      <name val="Arial"/>
      <b val="1"/>
      <color rgb="FFFFFFFF"/>
      <sz val="10"/>
    </font>
    <font>
      <name val="Arial"/>
      <color rgb="FF222222"/>
      <sz val="10"/>
    </font>
    <font>
      <name val="Arial"/>
      <i val="1"/>
      <color rgb="FF6B6B6B"/>
      <sz val="9"/>
    </font>
    <font>
      <name val="Arial"/>
      <b val="1"/>
      <color rgb="FF1B2A41"/>
      <sz val="18"/>
    </font>
    <font>
      <name val="Arial"/>
      <b val="1"/>
      <color rgb="FFD9622B"/>
      <sz val="11"/>
    </font>
    <font>
      <name val="Arial"/>
      <b val="1"/>
      <color rgb="FF222222"/>
      <sz val="10"/>
    </font>
    <font>
      <name val="Arial"/>
      <color rgb="FF4A4A4A"/>
      <sz val="10"/>
    </font>
    <font>
      <name val="Arial"/>
      <color rgb="FF222222"/>
      <sz val="9"/>
    </font>
    <font>
      <name val="Arial"/>
      <b val="1"/>
      <color rgb="FF4A4A4A"/>
      <sz val="10"/>
    </font>
    <font>
      <name val="Arial"/>
      <b val="1"/>
      <color rgb="FF1B2A41"/>
      <sz val="11"/>
    </font>
    <font>
      <name val="Arial"/>
      <b val="1"/>
      <color rgb="FF8E1B12"/>
      <sz val="10"/>
    </font>
    <font>
      <name val="Arial"/>
      <color rgb="FF6B6B6B"/>
      <sz val="10"/>
    </font>
    <font>
      <name val="Arial"/>
      <b val="1"/>
      <color rgb="FF7A4E00"/>
      <sz val="10"/>
    </font>
    <font>
      <name val="Arial"/>
      <b val="1"/>
      <color rgb="FFD9622B"/>
      <sz val="9"/>
    </font>
    <font>
      <name val="Arial"/>
      <color rgb="FFBBBBBB"/>
      <sz val="8"/>
    </font>
    <font>
      <name val="Arial"/>
      <b val="1"/>
      <color rgb="FFD9622B"/>
      <sz val="10"/>
    </font>
    <font>
      <name val="Arial"/>
      <i val="1"/>
      <color rgb="FF4A4A4A"/>
      <sz val="10"/>
    </font>
    <font>
      <name val="Arial"/>
      <b val="1"/>
      <color rgb="FF1B2A41"/>
      <sz val="10"/>
    </font>
    <font>
      <name val="Arial"/>
      <b val="1"/>
      <color rgb="FF6B6B6B"/>
      <sz val="8"/>
    </font>
    <font>
      <name val="Arial"/>
      <b val="1"/>
      <color rgb="FF1B2A41"/>
      <sz val="20"/>
    </font>
    <font>
      <name val="Arial"/>
      <b val="1"/>
      <color rgb="FF6B6B6B"/>
      <sz val="9"/>
    </font>
    <font>
      <name val="Arial"/>
      <i val="1"/>
      <color rgb="FF7A4E00"/>
      <sz val="9"/>
    </font>
    <font>
      <name val="Arial"/>
      <b val="1"/>
      <color rgb="FF8E1B12"/>
      <sz val="11"/>
    </font>
    <font>
      <name val="Arial"/>
      <color rgb="FF6B6B6B"/>
      <sz val="8"/>
    </font>
    <font>
      <name val="Arial"/>
      <color rgb="FFAAAAAA"/>
      <sz val="7"/>
    </font>
    <font>
      <name val="Arial"/>
      <b val="1"/>
      <color rgb="FF8E1B12"/>
      <sz val="9"/>
    </font>
    <font>
      <name val="Arial"/>
      <b val="1"/>
      <color rgb="FF1B2A41"/>
      <sz val="22"/>
    </font>
    <font>
      <name val="Arial"/>
      <color rgb="FF333333"/>
      <sz val="11"/>
    </font>
    <font>
      <name val="Arial"/>
      <b val="1"/>
      <color rgb="FF1E5A22"/>
      <sz val="10"/>
    </font>
    <font>
      <name val="Arial"/>
      <b val="1"/>
      <color rgb="FF1D4F8C"/>
      <sz val="10"/>
    </font>
  </fonts>
  <fills count="11">
    <fill>
      <patternFill/>
    </fill>
    <fill>
      <patternFill patternType="gray125"/>
    </fill>
    <fill>
      <patternFill patternType="solid">
        <fgColor rgb="FF1B2A41"/>
        <bgColor rgb="FF1B2A41"/>
      </patternFill>
    </fill>
    <fill>
      <patternFill patternType="solid">
        <fgColor rgb="FFFFFFFF"/>
        <bgColor rgb="FFFFFFFF"/>
      </patternFill>
    </fill>
    <fill>
      <patternFill patternType="solid">
        <fgColor rgb="FFEFEDE8"/>
        <bgColor rgb="FFEFEDE8"/>
      </patternFill>
    </fill>
    <fill>
      <patternFill patternType="solid">
        <fgColor rgb="FFF6F2EA"/>
        <bgColor rgb="FFF6F2EA"/>
      </patternFill>
    </fill>
    <fill>
      <patternFill patternType="solid">
        <fgColor rgb="FFFCEBCB"/>
        <bgColor rgb="FFFCEBCB"/>
      </patternFill>
    </fill>
    <fill>
      <patternFill patternType="solid">
        <fgColor rgb="FFEDE6D8"/>
        <bgColor rgb="FFEDE6D8"/>
      </patternFill>
    </fill>
    <fill>
      <patternFill patternType="solid">
        <fgColor rgb="FFDCEFD9"/>
        <bgColor rgb="FFDCEFD9"/>
      </patternFill>
    </fill>
    <fill>
      <patternFill patternType="solid">
        <fgColor rgb="FFF6D5D1"/>
        <bgColor rgb="FFF6D5D1"/>
      </patternFill>
    </fill>
    <fill>
      <patternFill patternType="solid">
        <fgColor rgb="FFDCE7F5"/>
        <bgColor rgb="FFDCE7F5"/>
      </patternFill>
    </fill>
  </fills>
  <borders count="11">
    <border>
      <left/>
      <right/>
      <top/>
      <bottom/>
      <diagonal/>
    </border>
    <border>
      <left style="thin">
        <color rgb="FFD9D3C7"/>
      </left>
      <right style="thin">
        <color rgb="FFD9D3C7"/>
      </right>
      <top style="thin">
        <color rgb="FFD9D3C7"/>
      </top>
      <bottom style="thin">
        <color rgb="FFD9D3C7"/>
      </bottom>
    </border>
    <border>
      <bottom style="medium">
        <color rgb="FF1B2A41"/>
      </bottom>
    </border>
    <border>
      <top style="medium">
        <color rgb="FFD9622B"/>
      </top>
    </border>
    <border>
      <top style="medium">
        <color rgb="FF1B2A41"/>
      </top>
      <bottom style="medium">
        <color rgb="FF1B2A41"/>
      </bottom>
    </border>
    <border>
      <left style="thick">
        <color rgb="FFD9622B"/>
      </left>
    </border>
    <border>
      <bottom style="hair">
        <color rgb="FFD9D3C7"/>
      </bottom>
    </border>
    <border>
      <bottom style="thin">
        <color rgb="FF888888"/>
      </bottom>
    </border>
    <border>
      <top style="medium">
        <color rgb="FF1B2A41"/>
      </top>
    </border>
    <border>
      <bottom style="thin">
        <color rgb="FF333333"/>
      </bottom>
    </border>
    <border>
      <left style="thick">
        <color rgb="FF8E1B12"/>
      </left>
    </border>
  </borders>
  <cellStyleXfs count="1">
    <xf numFmtId="0" fontId="0" fillId="0" borderId="0"/>
  </cellStyleXfs>
  <cellXfs count="100">
    <xf numFmtId="0" fontId="0" fillId="0" borderId="0" pivotButton="0" quotePrefix="0" xfId="0"/>
    <xf numFmtId="0" fontId="16" fillId="0" borderId="0" applyAlignment="1" pivotButton="0" quotePrefix="0" xfId="0">
      <alignment horizontal="left" vertical="top" wrapText="1"/>
    </xf>
    <xf numFmtId="0" fontId="29" fillId="0" borderId="0" applyAlignment="1" pivotButton="0" quotePrefix="0" xfId="0">
      <alignment horizontal="left" vertical="top" wrapText="1"/>
    </xf>
    <xf numFmtId="0" fontId="30" fillId="0" borderId="0" applyAlignment="1" pivotButton="0" quotePrefix="0" xfId="0">
      <alignment horizontal="left" vertical="top" wrapText="1"/>
    </xf>
    <xf numFmtId="0" fontId="7" fillId="0" borderId="2" pivotButton="0" quotePrefix="0" xfId="0"/>
    <xf numFmtId="0" fontId="0" fillId="0" borderId="2" pivotButton="0" quotePrefix="0" xfId="0"/>
    <xf numFmtId="0" fontId="12" fillId="5" borderId="0" applyAlignment="1" pivotButton="0" quotePrefix="0" xfId="0">
      <alignment horizontal="left" vertical="center" wrapText="1" indent="1"/>
    </xf>
    <xf numFmtId="0" fontId="20" fillId="0" borderId="0" applyAlignment="1" pivotButton="0" quotePrefix="0" xfId="0">
      <alignment horizontal="left" vertical="top" wrapText="1"/>
    </xf>
    <xf numFmtId="0" fontId="4" fillId="0" borderId="0" applyAlignment="1" pivotButton="0" quotePrefix="0" xfId="0">
      <alignment horizontal="left" vertical="top" wrapText="1"/>
    </xf>
    <xf numFmtId="0" fontId="8" fillId="3" borderId="1" applyAlignment="1" pivotButton="0" quotePrefix="0" xfId="0">
      <alignment horizontal="left" vertical="center" indent="1"/>
    </xf>
    <xf numFmtId="0" fontId="4" fillId="0" borderId="0" applyAlignment="1" pivotButton="0" quotePrefix="0" xfId="0">
      <alignment horizontal="left" vertical="center" indent="1"/>
    </xf>
    <xf numFmtId="0" fontId="11" fillId="4" borderId="1" applyAlignment="1" pivotButton="0" quotePrefix="0" xfId="0">
      <alignment horizontal="left" vertical="center" indent="1"/>
    </xf>
    <xf numFmtId="0" fontId="31" fillId="8" borderId="1" applyAlignment="1" pivotButton="0" quotePrefix="0" xfId="0">
      <alignment horizontal="left" vertical="center" indent="1"/>
    </xf>
    <xf numFmtId="0" fontId="15" fillId="6" borderId="1" applyAlignment="1" pivotButton="0" quotePrefix="0" xfId="0">
      <alignment horizontal="left" vertical="center" indent="1"/>
    </xf>
    <xf numFmtId="0" fontId="13" fillId="9" borderId="1" applyAlignment="1" pivotButton="0" quotePrefix="0" xfId="0">
      <alignment horizontal="left" vertical="center" indent="1"/>
    </xf>
    <xf numFmtId="0" fontId="32" fillId="10" borderId="1" applyAlignment="1" pivotButton="0" quotePrefix="0" xfId="0">
      <alignment horizontal="left" vertical="center" indent="1"/>
    </xf>
    <xf numFmtId="0" fontId="5" fillId="0" borderId="0" pivotButton="0" quotePrefix="0" xfId="0"/>
    <xf numFmtId="0" fontId="6" fillId="0" borderId="0" pivotButton="0" quotePrefix="0" xfId="0"/>
    <xf numFmtId="0" fontId="14" fillId="0" borderId="0" pivotButton="0" quotePrefix="0" xfId="0"/>
    <xf numFmtId="0" fontId="21" fillId="5" borderId="5" applyAlignment="1" pivotButton="0" quotePrefix="0" xfId="0">
      <alignment horizontal="left" vertical="bottom" indent="1"/>
    </xf>
    <xf numFmtId="0" fontId="0" fillId="5" borderId="0" pivotButton="0" quotePrefix="0" xfId="0"/>
    <xf numFmtId="1" fontId="22" fillId="5" borderId="5" applyAlignment="1" pivotButton="0" quotePrefix="0" xfId="0">
      <alignment horizontal="left" vertical="center" indent="1"/>
    </xf>
    <xf numFmtId="0" fontId="26" fillId="5" borderId="5" applyAlignment="1" pivotButton="0" quotePrefix="0" xfId="0">
      <alignment horizontal="left" vertical="top" indent="1"/>
    </xf>
    <xf numFmtId="0" fontId="28" fillId="0" borderId="0" pivotButton="0" quotePrefix="0" xfId="0"/>
    <xf numFmtId="0" fontId="21" fillId="5" borderId="10" applyAlignment="1" pivotButton="0" quotePrefix="0" xfId="0">
      <alignment horizontal="left" vertical="bottom" indent="1"/>
    </xf>
    <xf numFmtId="1" fontId="22" fillId="5" borderId="10" applyAlignment="1" pivotButton="0" quotePrefix="0" xfId="0">
      <alignment horizontal="left" vertical="center" indent="1"/>
    </xf>
    <xf numFmtId="165" fontId="22" fillId="5" borderId="10" applyAlignment="1" pivotButton="0" quotePrefix="0" xfId="0">
      <alignment horizontal="left" vertical="center" indent="1"/>
    </xf>
    <xf numFmtId="0" fontId="26" fillId="5" borderId="10" applyAlignment="1" pivotButton="0" quotePrefix="0" xfId="0">
      <alignment horizontal="left" vertical="top" indent="1"/>
    </xf>
    <xf numFmtId="0" fontId="16" fillId="0" borderId="0" pivotButton="0" quotePrefix="0" xfId="0"/>
    <xf numFmtId="165" fontId="22" fillId="5" borderId="5" applyAlignment="1" pivotButton="0" quotePrefix="0" xfId="0">
      <alignment horizontal="left" vertical="center" indent="1"/>
    </xf>
    <xf numFmtId="166" fontId="22" fillId="5" borderId="5" applyAlignment="1" pivotButton="0" quotePrefix="0" xfId="0">
      <alignment horizontal="left" vertical="center" indent="1"/>
    </xf>
    <xf numFmtId="0" fontId="3" fillId="2" borderId="1" applyAlignment="1" pivotButton="0" quotePrefix="0" xfId="0">
      <alignment horizontal="center" vertical="center" wrapText="1"/>
    </xf>
    <xf numFmtId="0" fontId="9" fillId="4" borderId="1" applyAlignment="1" pivotButton="0" quotePrefix="0" xfId="0">
      <alignment horizontal="left" vertical="center" indent="1"/>
    </xf>
    <xf numFmtId="1" fontId="9" fillId="4" borderId="1" applyAlignment="1" pivotButton="0" quotePrefix="0" xfId="0">
      <alignment horizontal="center" vertical="center"/>
    </xf>
    <xf numFmtId="1" fontId="9" fillId="4" borderId="1" applyAlignment="1" pivotButton="0" quotePrefix="0" xfId="0">
      <alignment horizontal="right" vertical="center"/>
    </xf>
    <xf numFmtId="165" fontId="9" fillId="4" borderId="1" applyAlignment="1" pivotButton="0" quotePrefix="0" xfId="0">
      <alignment horizontal="right" vertical="center"/>
    </xf>
    <xf numFmtId="166" fontId="9" fillId="4" borderId="1" applyAlignment="1" pivotButton="0" quotePrefix="0" xfId="0">
      <alignment horizontal="right" vertical="center"/>
    </xf>
    <xf numFmtId="0" fontId="6" fillId="0" borderId="0" applyAlignment="1" pivotButton="0" quotePrefix="0" xfId="0">
      <alignment horizontal="left" vertical="center"/>
    </xf>
    <xf numFmtId="0" fontId="2" fillId="0" borderId="0" applyAlignment="1" pivotButton="0" quotePrefix="0" xfId="0">
      <alignment horizontal="left" vertical="center"/>
    </xf>
    <xf numFmtId="0" fontId="8" fillId="0" borderId="0" applyAlignment="1" pivotButton="0" quotePrefix="0" xfId="0">
      <alignment horizontal="left" vertical="center" indent="1"/>
    </xf>
    <xf numFmtId="0" fontId="4" fillId="3" borderId="1" applyAlignment="1" pivotButton="0" quotePrefix="0" xfId="0">
      <alignment horizontal="left" vertical="center"/>
    </xf>
    <xf numFmtId="0" fontId="5" fillId="0" borderId="0" applyAlignment="1" pivotButton="0" quotePrefix="0" xfId="0">
      <alignment horizontal="left" vertical="center" wrapText="1"/>
    </xf>
    <xf numFmtId="164" fontId="4" fillId="3" borderId="1" applyAlignment="1" pivotButton="0" quotePrefix="0" xfId="0">
      <alignment horizontal="left" vertical="center"/>
    </xf>
    <xf numFmtId="165" fontId="4" fillId="3" borderId="1" applyAlignment="1" pivotButton="0" quotePrefix="0" xfId="0">
      <alignment horizontal="right" vertical="center"/>
    </xf>
    <xf numFmtId="9" fontId="4" fillId="3" borderId="1" applyAlignment="1" pivotButton="0" quotePrefix="0" xfId="0">
      <alignment horizontal="right" vertical="center"/>
    </xf>
    <xf numFmtId="0" fontId="10" fillId="0" borderId="1" applyAlignment="1" pivotButton="0" quotePrefix="0" xfId="0">
      <alignment horizontal="left" vertical="center" wrapText="1"/>
    </xf>
    <xf numFmtId="165" fontId="12" fillId="5" borderId="1" applyAlignment="1" pivotButton="0" quotePrefix="0" xfId="0">
      <alignment horizontal="right" vertical="center"/>
    </xf>
    <xf numFmtId="165" fontId="13" fillId="4" borderId="1" applyAlignment="1" pivotButton="0" quotePrefix="0" xfId="0">
      <alignment horizontal="right" vertical="center"/>
    </xf>
    <xf numFmtId="0" fontId="15" fillId="6" borderId="0" applyAlignment="1" pivotButton="0" quotePrefix="0" xfId="0">
      <alignment horizontal="left" vertical="center" indent="1"/>
    </xf>
    <xf numFmtId="0" fontId="16" fillId="5" borderId="3" applyAlignment="1" pivotButton="0" quotePrefix="0" xfId="0">
      <alignment horizontal="center" vertical="center"/>
    </xf>
    <xf numFmtId="0" fontId="0" fillId="5" borderId="3" pivotButton="0" quotePrefix="0" xfId="0"/>
    <xf numFmtId="0" fontId="16" fillId="7" borderId="3" applyAlignment="1" pivotButton="0" quotePrefix="0" xfId="0">
      <alignment horizontal="center" vertical="center"/>
    </xf>
    <xf numFmtId="0" fontId="0" fillId="7" borderId="3" pivotButton="0" quotePrefix="0" xfId="0"/>
    <xf numFmtId="0" fontId="17" fillId="3" borderId="0" pivotButton="0" quotePrefix="0" xfId="0"/>
    <xf numFmtId="0" fontId="9" fillId="4" borderId="1" applyAlignment="1" pivotButton="0" quotePrefix="0" xfId="0">
      <alignment horizontal="center" vertical="center"/>
    </xf>
    <xf numFmtId="164" fontId="9" fillId="4" borderId="1" applyAlignment="1" pivotButton="0" quotePrefix="0" xfId="0">
      <alignment horizontal="center" vertical="center"/>
    </xf>
    <xf numFmtId="167" fontId="4" fillId="3" borderId="1" applyAlignment="1" pivotButton="0" quotePrefix="0" xfId="0">
      <alignment horizontal="right" vertical="center"/>
    </xf>
    <xf numFmtId="168" fontId="4" fillId="3" borderId="1" applyAlignment="1" pivotButton="0" quotePrefix="0" xfId="0">
      <alignment horizontal="right" vertical="center"/>
    </xf>
    <xf numFmtId="1" fontId="4" fillId="3" borderId="1" applyAlignment="1" pivotButton="0" quotePrefix="0" xfId="0">
      <alignment horizontal="right" vertical="center"/>
    </xf>
    <xf numFmtId="0" fontId="4" fillId="3" borderId="1" applyAlignment="1" pivotButton="0" quotePrefix="0" xfId="0">
      <alignment horizontal="left" vertical="center" wrapText="1"/>
    </xf>
    <xf numFmtId="0" fontId="17" fillId="0" borderId="0" pivotButton="0" quotePrefix="0" xfId="0"/>
    <xf numFmtId="0" fontId="18" fillId="0" borderId="0" pivotButton="0" quotePrefix="0" xfId="0"/>
    <xf numFmtId="0" fontId="4" fillId="3" borderId="1" applyAlignment="1" pivotButton="0" quotePrefix="0" xfId="0">
      <alignment horizontal="left" vertical="center" indent="1"/>
    </xf>
    <xf numFmtId="169" fontId="9" fillId="4" borderId="1" applyAlignment="1" pivotButton="0" quotePrefix="0" xfId="0">
      <alignment horizontal="right" vertical="center"/>
    </xf>
    <xf numFmtId="0" fontId="19" fillId="4" borderId="1" applyAlignment="1" pivotButton="0" quotePrefix="0" xfId="0">
      <alignment horizontal="left" vertical="center" indent="1"/>
    </xf>
    <xf numFmtId="0" fontId="20" fillId="5" borderId="4" applyAlignment="1" pivotButton="0" quotePrefix="0" xfId="0">
      <alignment horizontal="left" vertical="center" indent="1"/>
    </xf>
    <xf numFmtId="165" fontId="20" fillId="5" borderId="4" pivotButton="0" quotePrefix="0" xfId="0"/>
    <xf numFmtId="166" fontId="20" fillId="5" borderId="4" pivotButton="0" quotePrefix="0" xfId="0"/>
    <xf numFmtId="169" fontId="20" fillId="5" borderId="4" pivotButton="0" quotePrefix="0" xfId="0"/>
    <xf numFmtId="1" fontId="20" fillId="5" borderId="4" pivotButton="0" quotePrefix="0" xfId="0"/>
    <xf numFmtId="0" fontId="20" fillId="5" borderId="4" pivotButton="0" quotePrefix="0" xfId="0"/>
    <xf numFmtId="166" fontId="11" fillId="4" borderId="1" applyAlignment="1" pivotButton="0" quotePrefix="0" xfId="0">
      <alignment horizontal="right" vertical="center"/>
    </xf>
    <xf numFmtId="9" fontId="11" fillId="4" borderId="1" applyAlignment="1" pivotButton="0" quotePrefix="0" xfId="0">
      <alignment horizontal="right" vertical="center"/>
    </xf>
    <xf numFmtId="0" fontId="2" fillId="0" borderId="0" pivotButton="0" quotePrefix="0" xfId="0"/>
    <xf numFmtId="0" fontId="21" fillId="5" borderId="5" applyAlignment="1" pivotButton="0" quotePrefix="0" xfId="0">
      <alignment horizontal="left" vertical="center" indent="1"/>
    </xf>
    <xf numFmtId="165" fontId="6" fillId="5" borderId="5" applyAlignment="1" pivotButton="0" quotePrefix="0" xfId="0">
      <alignment horizontal="left" vertical="center" indent="1"/>
    </xf>
    <xf numFmtId="1" fontId="6" fillId="5" borderId="5" applyAlignment="1" pivotButton="0" quotePrefix="0" xfId="0">
      <alignment horizontal="left" vertical="center" indent="1"/>
    </xf>
    <xf numFmtId="0" fontId="11" fillId="4" borderId="1" applyAlignment="1" pivotButton="0" quotePrefix="0" xfId="0">
      <alignment horizontal="center" vertical="center"/>
    </xf>
    <xf numFmtId="0" fontId="22" fillId="0" borderId="0" pivotButton="0" quotePrefix="0" xfId="0"/>
    <xf numFmtId="0" fontId="23" fillId="0" borderId="0" pivotButton="0" quotePrefix="0" xfId="0"/>
    <xf numFmtId="0" fontId="12" fillId="6" borderId="1" applyAlignment="1" pivotButton="0" quotePrefix="0" xfId="0">
      <alignment horizontal="left" vertical="center" indent="1"/>
    </xf>
    <xf numFmtId="0" fontId="24" fillId="0" borderId="0" pivotButton="0" quotePrefix="0" xfId="0"/>
    <xf numFmtId="0" fontId="10" fillId="0" borderId="6" applyAlignment="1" pivotButton="0" quotePrefix="0" xfId="0">
      <alignment horizontal="center" vertical="center"/>
    </xf>
    <xf numFmtId="0" fontId="10" fillId="0" borderId="6" applyAlignment="1" pivotButton="0" quotePrefix="0" xfId="0">
      <alignment horizontal="left" vertical="center"/>
    </xf>
    <xf numFmtId="0" fontId="10" fillId="0" borderId="6" applyAlignment="1" pivotButton="0" quotePrefix="0" xfId="0">
      <alignment horizontal="left" vertical="center" wrapText="1"/>
    </xf>
    <xf numFmtId="165" fontId="10" fillId="0" borderId="6" applyAlignment="1" pivotButton="0" quotePrefix="0" xfId="0">
      <alignment horizontal="right" vertical="center"/>
    </xf>
    <xf numFmtId="166" fontId="10" fillId="0" borderId="6" applyAlignment="1" pivotButton="0" quotePrefix="0" xfId="0">
      <alignment horizontal="right" vertical="center"/>
    </xf>
    <xf numFmtId="0" fontId="10" fillId="0" borderId="7" applyAlignment="1" pivotButton="0" quotePrefix="0" xfId="0">
      <alignment horizontal="left" vertical="center"/>
    </xf>
    <xf numFmtId="0" fontId="0" fillId="0" borderId="8" pivotButton="0" quotePrefix="0" xfId="0"/>
    <xf numFmtId="0" fontId="20" fillId="0" borderId="8" pivotButton="0" quotePrefix="0" xfId="0"/>
    <xf numFmtId="165" fontId="20" fillId="0" borderId="8" pivotButton="0" quotePrefix="0" xfId="0"/>
    <xf numFmtId="166" fontId="20" fillId="0" borderId="8" pivotButton="0" quotePrefix="0" xfId="0"/>
    <xf numFmtId="0" fontId="8" fillId="0" borderId="0" pivotButton="0" quotePrefix="0" xfId="0"/>
    <xf numFmtId="165" fontId="25" fillId="0" borderId="0" applyAlignment="1" pivotButton="0" quotePrefix="0" xfId="0">
      <alignment horizontal="right" vertical="center"/>
    </xf>
    <xf numFmtId="0" fontId="10" fillId="0" borderId="0" applyAlignment="1" pivotButton="0" quotePrefix="0" xfId="0">
      <alignment horizontal="left" vertical="top" wrapText="1"/>
    </xf>
    <xf numFmtId="0" fontId="0" fillId="0" borderId="9" pivotButton="0" quotePrefix="0" xfId="0"/>
    <xf numFmtId="0" fontId="26" fillId="0" borderId="0" pivotButton="0" quotePrefix="0" xfId="0"/>
    <xf numFmtId="0" fontId="27" fillId="0" borderId="0" pivotButton="0" quotePrefix="0" xfId="0"/>
    <xf numFmtId="0" fontId="1" fillId="0" borderId="0" pivotButton="0" quotePrefix="0" xfId="0"/>
    <xf numFmtId="0" fontId="3" fillId="2" borderId="1" applyAlignment="1" pivotButton="0" quotePrefix="0" xfId="0">
      <alignment horizontal="left" vertical="center" indent="1"/>
    </xf>
  </cellXfs>
  <cellStyles count="1">
    <cellStyle name="Normal" xfId="0" builtinId="0" hidden="0"/>
  </cellStyles>
  <dxfs count="13">
    <dxf>
      <font>
        <name val="Arial"/>
        <b val="1"/>
        <color rgb="FF8E1B12"/>
      </font>
      <fill>
        <patternFill patternType="solid">
          <fgColor rgb="FFF6D5D1"/>
          <bgColor rgb="FFF6D5D1"/>
        </patternFill>
      </fill>
    </dxf>
    <dxf>
      <font>
        <name val="Arial"/>
        <color rgb="FFB8B4AC"/>
      </font>
    </dxf>
    <dxf>
      <font>
        <name val="Arial"/>
        <b val="1"/>
        <color rgb="FF8E1B12"/>
      </font>
    </dxf>
    <dxf>
      <font>
        <name val="Arial"/>
        <b val="1"/>
        <color rgb="FF1E5A22"/>
      </font>
    </dxf>
    <dxf>
      <font>
        <name val="Arial"/>
        <b val="1"/>
        <color rgb="FF1E5A22"/>
      </font>
      <fill>
        <patternFill patternType="solid">
          <fgColor rgb="FFDCEFD9"/>
          <bgColor rgb="FFDCEFD9"/>
        </patternFill>
      </fill>
    </dxf>
    <dxf>
      <font>
        <name val="Arial"/>
        <color rgb="FF7A4E00"/>
      </font>
      <fill>
        <patternFill patternType="solid">
          <fgColor rgb="FFFCEBCB"/>
          <bgColor rgb="FFFCEBCB"/>
        </patternFill>
      </fill>
    </dxf>
    <dxf>
      <font>
        <name val="Arial"/>
        <color rgb="FF1D4F8C"/>
      </font>
      <fill>
        <patternFill patternType="solid">
          <fgColor rgb="FFDCE7F5"/>
          <bgColor rgb="FFDCE7F5"/>
        </patternFill>
      </fill>
    </dxf>
    <dxf>
      <font>
        <name val="Arial"/>
        <b val="1"/>
        <color rgb="FF7A4E00"/>
      </font>
      <fill>
        <patternFill patternType="solid">
          <fgColor rgb="FFFCEBCB"/>
          <bgColor rgb="FFFCEBCB"/>
        </patternFill>
      </fill>
    </dxf>
    <dxf>
      <font>
        <name val="Arial"/>
        <b val="1"/>
        <color rgb="FF1D4F8C"/>
      </font>
      <fill>
        <patternFill patternType="solid">
          <fgColor rgb="FFDCE7F5"/>
          <bgColor rgb="FFDCE7F5"/>
        </patternFill>
      </fill>
    </dxf>
    <dxf>
      <font>
        <name val="Arial"/>
        <color rgb="FF555555"/>
      </font>
      <fill>
        <patternFill patternType="solid">
          <fgColor rgb="FFE4E4E4"/>
          <bgColor rgb="FFE4E4E4"/>
        </patternFill>
      </fill>
    </dxf>
    <dxf>
      <font>
        <name val="Arial"/>
        <color rgb="FF1E5A22"/>
      </font>
      <fill>
        <patternFill patternType="solid">
          <fgColor rgb="FFDCEFD9"/>
          <bgColor rgb="FFDCEFD9"/>
        </patternFill>
      </fill>
    </dxf>
    <dxf>
      <font>
        <name val="Arial"/>
        <color rgb="FF888888"/>
      </font>
      <fill>
        <patternFill patternType="solid">
          <fgColor rgb="FFE4E4E4"/>
          <bgColor rgb="FFE4E4E4"/>
        </patternFill>
      </fill>
    </dxf>
    <dxf>
      <font>
        <name val="Arial"/>
        <color rgb="FF999999"/>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harts/chart1.xml><?xml version="1.0" encoding="utf-8"?>
<chartSpace xmlns="http://schemas.openxmlformats.org/drawingml/2006/chart">
  <style val="10"/>
  <chart>
    <plotArea>
      <barChart>
        <barDir val="bar"/>
        <grouping val="clustered"/>
        <ser>
          <idx val="0"/>
          <order val="0"/>
          <tx>
            <strRef>
              <f>'Dashboard'!C17</f>
            </strRef>
          </tx>
          <spPr>
            <a:solidFill xmlns:a="http://schemas.openxmlformats.org/drawingml/2006/main">
              <a:srgbClr val="2F6BB3"/>
            </a:solidFill>
            <a:ln xmlns:a="http://schemas.openxmlformats.org/drawingml/2006/main">
              <a:solidFill>
                <a:srgbClr val="2F6BB3"/>
              </a:solidFill>
              <a:prstDash val="solid"/>
            </a:ln>
          </spPr>
          <cat>
            <numRef>
              <f>'Dashboard'!$B$18:$B$25</f>
            </numRef>
          </cat>
          <val>
            <numRef>
              <f>'Dashboard'!$C$18:$C$25</f>
            </numRef>
          </val>
        </ser>
        <dLbls>
          <showLegendKey val="0"/>
          <showVal val="1"/>
          <showCatName val="0"/>
          <showSerName val="0"/>
          <showPercent val="0"/>
        </dLbls>
        <gapWidth val="60"/>
        <axId val="10"/>
        <axId val="100"/>
      </barChart>
      <catAx>
        <axId val="10"/>
        <scaling>
          <orientation val="maxMin"/>
        </scaling>
        <delete val="0"/>
        <axPos val="l"/>
        <majorTickMark val="none"/>
        <minorTickMark val="none"/>
        <crossAx val="100"/>
        <lblOffset val="100"/>
      </catAx>
      <valAx>
        <axId val="100"/>
        <scaling>
          <orientation val="minMax"/>
        </scaling>
        <delete val="1"/>
        <axPos val="l"/>
        <majorTickMark val="none"/>
        <minorTickMark val="none"/>
        <crossAx val="10"/>
      </valAx>
    </plotArea>
    <plotVisOnly val="1"/>
    <dispBlanksAs val="gap"/>
  </chart>
</chartSpace>
</file>

<file path=xl/charts/chart2.xml><?xml version="1.0" encoding="utf-8"?>
<chartSpace xmlns="http://schemas.openxmlformats.org/drawingml/2006/chart">
  <chart>
    <plotArea>
      <barChart>
        <barDir val="col"/>
        <grouping val="clustered"/>
        <ser>
          <idx val="0"/>
          <order val="0"/>
          <tx>
            <strRef>
              <f>'Allowances'!C5</f>
            </strRef>
          </tx>
          <spPr>
            <a:solidFill xmlns:a="http://schemas.openxmlformats.org/drawingml/2006/main">
              <a:srgbClr val="2F6BB3"/>
            </a:solidFill>
            <a:ln xmlns:a="http://schemas.openxmlformats.org/drawingml/2006/main">
              <a:solidFill>
                <a:srgbClr val="2F6BB3"/>
              </a:solidFill>
              <a:prstDash val="solid"/>
            </a:ln>
          </spPr>
          <cat>
            <numRef>
              <f>'Allowances'!$B$6:$B$14</f>
            </numRef>
          </cat>
          <val>
            <numRef>
              <f>'Allowances'!$C$6:$C$14</f>
            </numRef>
          </val>
        </ser>
        <ser>
          <idx val="1"/>
          <order val="1"/>
          <tx>
            <strRef>
              <f>'Allowances'!D5</f>
            </strRef>
          </tx>
          <spPr>
            <a:solidFill xmlns:a="http://schemas.openxmlformats.org/drawingml/2006/main">
              <a:srgbClr val="D9622B"/>
            </a:solidFill>
            <a:ln xmlns:a="http://schemas.openxmlformats.org/drawingml/2006/main">
              <a:solidFill>
                <a:srgbClr val="D9622B"/>
              </a:solidFill>
              <a:prstDash val="solid"/>
            </a:ln>
          </spPr>
          <cat>
            <numRef>
              <f>'Allowances'!$B$6:$B$14</f>
            </numRef>
          </cat>
          <val>
            <numRef>
              <f>'Allowances'!$D$6:$D$14</f>
            </numRef>
          </val>
        </ser>
        <gapWidth val="80"/>
        <overlap val="-10"/>
        <axId val="10"/>
        <axId val="100"/>
      </barChart>
      <catAx>
        <axId val="10"/>
        <scaling>
          <orientation val="minMax"/>
        </scaling>
        <delete val="0"/>
        <axPos val="l"/>
        <majorTickMark val="none"/>
        <minorTickMark val="none"/>
        <crossAx val="100"/>
        <lblOffset val="100"/>
      </catAx>
      <valAx>
        <axId val="100"/>
        <scaling>
          <orientation val="minMax"/>
        </scaling>
        <delete val="0"/>
        <axPos val="l"/>
        <majorGridlines>
          <spPr>
            <a:ln xmlns:a="http://schemas.openxmlformats.org/drawingml/2006/main">
              <a:solidFill>
                <a:srgbClr val="E6E2DA"/>
              </a:solidFill>
              <a:prstDash val="solid"/>
            </a:ln>
          </spPr>
        </majorGridlines>
        <numFmt formatCode="$#,##0" sourceLinked="0"/>
        <majorTickMark val="none"/>
        <minorTickMark val="none"/>
        <crossAx val="10"/>
      </valAx>
    </plotArea>
    <legend>
      <legendPos val="b"/>
    </legend>
    <plotVisOnly val="1"/>
    <dispBlanksAs val="gap"/>
  </chart>
</chartSpace>
</file>

<file path=xl/comments/comment1.xml><?xml version="1.0" encoding="utf-8"?>
<comments xmlns="http://schemas.openxmlformats.org/spreadsheetml/2006/main">
  <authors>
    <author>Spec Sheet Builder</author>
  </authors>
  <commentList>
    <comment ref="C5" authorId="0" shapeId="0">
      <text>
        <t>Write it the way the client says it: 'the gold faucet in the guest bath.' Nobody should need a decoder.</t>
      </text>
    </comment>
    <comment ref="F5" authorId="0" shapeId="0">
      <text>
        <t>Pick the phase this has to be decided by. The date comes from the Project tab.</t>
      </text>
    </comment>
    <comment ref="I5" authorId="0" shapeId="0">
      <text>
        <t>Full model number or SKU. 'Moen brushed' is not a model. Do not order from a blank.</t>
      </text>
    </comment>
    <comment ref="J5" authorId="0" shapeId="0">
      <text>
        <t>Use the manufacturer's finish name and code. 'Gold' is three different golds at three suppliers. No finish on this item? Type N/A so the check knows it is on purpose.</t>
      </text>
    </comment>
    <comment ref="L5" authorId="0" shapeId="0">
      <text>
        <t>Quantity with a unit. 120 sf is not the same order as 120 boxes.</t>
      </text>
    </comment>
    <comment ref="N5" authorId="0" shapeId="0">
      <text>
        <t>Your cost per unit. Actual = Qty x Unit Cost.</t>
      </text>
    </comment>
    <comment ref="P5" authorId="0" shapeId="0">
      <text>
        <t>The allowance for this line from your contract. Leave blank if the line is not an allowance item.</t>
      </text>
    </comment>
    <comment ref="T5" authorId="0" shapeId="0">
      <text>
        <t>Days from order to delivery, from the supplier. Ask, do not guess.</t>
      </text>
    </comment>
    <comment ref="U5" authorId="0" shapeId="0">
      <text>
        <t>The day it has to be on site. Order By = this date minus lead time.</t>
      </text>
    </comment>
    <comment ref="W5" authorId="0" shapeId="0">
      <text>
        <t>Selected is not Approved. Selected means the client liked it. Approved means it is signed.</t>
      </text>
    </comment>
    <comment ref="X5" authorId="0" shapeId="0">
      <text>
        <t>Date the client signed off. Blank here means you do not have approval.</t>
      </text>
    </comment>
    <comment ref="Z5" authorId="0" shapeId="0">
      <text>
        <t>The pre-order check: model, finish, qty, supplier, lead time, approval. READY means you can order this today.</t>
      </text>
    </comment>
    <comment ref="AA5" authorId="0" shapeId="0">
      <text>
        <t>DECISION OVERDUE: past the decide-by date with no approval. ORDER OVERDUE: past the order-by date. ORDER SOON: within 14 days.</t>
      </text>
    </comment>
    <comment ref="AB5" authorId="0" shapeId="0">
      <text>
        <t>Over allowance and not yet approved. Sign overages the day they are chosen.</t>
      </text>
    </comment>
    <comment ref="AC5" authorId="0" shapeId="0">
      <text>
        <t>Name real alternates: 'Kohler K-14406-4-CP or Moen TS32104, client approval required.' Avoid 'or equal.'</t>
      </text>
    </comment>
  </commentList>
</comments>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4</col>
      <colOff>0</colOff>
      <row>16</row>
      <rowOff>0</rowOff>
    </from>
    <ext cx="5580000" cy="2232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28</row>
      <rowOff>0</rowOff>
    </from>
    <ext cx="8640000" cy="288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_rels/sheet4.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tabColor rgb="00D9622B"/>
    <outlinePr summaryBelow="1" summaryRight="1"/>
    <pageSetUpPr fitToPage="1"/>
  </sheetPr>
  <dimension ref="B2:C40"/>
  <sheetViews>
    <sheetView showGridLines="0" workbookViewId="0">
      <selection activeCell="A1" sqref="A1"/>
    </sheetView>
  </sheetViews>
  <sheetFormatPr baseColWidth="8" defaultRowHeight="15"/>
  <cols>
    <col width="3" customWidth="1" min="1" max="1"/>
    <col width="24" customWidth="1" min="2" max="2"/>
    <col width="86" customWidth="1" min="3" max="3"/>
  </cols>
  <sheetData>
    <row r="2" ht="16" customHeight="1">
      <c r="B2" s="1" t="inlineStr">
        <is>
          <t>FINISH SCHEDULE TEMPLATE  |  SPEC SHEET BUILDER</t>
        </is>
      </c>
    </row>
    <row r="3" ht="36" customHeight="1">
      <c r="B3" s="2" t="inlineStr">
        <is>
          <t>One sheet that answers: can we order this today?</t>
        </is>
      </c>
    </row>
    <row r="4" ht="48" customHeight="1">
      <c r="B4" s="3" t="inlineStr">
        <is>
          <t>Every finish on a custom home in one place: what the client picked, what it costs against the allowance, when it has to be decided, when it has to be ordered, and whether it is signed. Built by builders for residential jobs. Works in Excel and Google Sheets.</t>
        </is>
      </c>
    </row>
    <row r="6" ht="22" customHeight="1">
      <c r="B6" s="4" t="inlineStr">
        <is>
          <t>THE ONE RULE</t>
        </is>
      </c>
      <c r="C6" s="5" t="n"/>
    </row>
    <row r="7" ht="46" customHeight="1">
      <c r="B7" s="6" t="inlineStr">
        <is>
          <t>Do not order from a blank. If the model, finish, quantity, supplier, lead time, or approval is missing, the Ready to Order column says so, and it stays amber until it is filled in. Selected is not approved.</t>
        </is>
      </c>
    </row>
    <row r="9" ht="22" customHeight="1">
      <c r="B9" s="4" t="inlineStr">
        <is>
          <t>THE TABS</t>
        </is>
      </c>
      <c r="C9" s="5" t="n"/>
    </row>
    <row r="10" ht="18" customHeight="1">
      <c r="B10" s="7" t="inlineStr">
        <is>
          <t>Dashboard</t>
        </is>
      </c>
      <c r="C10" s="8" t="inlineStr">
        <is>
          <t>Counts, money, and what needs attention, all calculated. Open this first every Monday.</t>
        </is>
      </c>
    </row>
    <row r="11" ht="18" customHeight="1">
      <c r="B11" s="7" t="inlineStr">
        <is>
          <t>Project</t>
        </is>
      </c>
      <c r="C11" s="8" t="inlineStr">
        <is>
          <t>Job info, contract amount, markups, and the four decide-by dates. Fill it in once.</t>
        </is>
      </c>
    </row>
    <row r="12" ht="32" customHeight="1">
      <c r="B12" s="7" t="inlineStr">
        <is>
          <t>Finish Schedule</t>
        </is>
      </c>
      <c r="C12" s="8" t="inlineStr">
        <is>
          <t>The main list. One row per selection. White cells are yours, gray cells calculate: decision due date, actual cost, over/under, order-by date, the Ready to Order check, and flags.</t>
        </is>
      </c>
    </row>
    <row r="13" ht="32" customHeight="1">
      <c r="B13" s="7" t="inlineStr">
        <is>
          <t>Allowances</t>
        </is>
      </c>
      <c r="C13" s="8" t="inlineStr">
        <is>
          <t>Every allowance line rolled up by category: allowance, actual, over/under, billable with markup, and what is not signed yet.</t>
        </is>
      </c>
    </row>
    <row r="14" ht="32" customHeight="1">
      <c r="B14" s="7" t="inlineStr">
        <is>
          <t>Change Orders</t>
        </is>
      </c>
      <c r="C14" s="8" t="inlineStr">
        <is>
          <t>Every change priced and signed before the work, including $0 swaps and overages. Totals feed the revised contract.</t>
        </is>
      </c>
    </row>
    <row r="15" ht="32" customHeight="1">
      <c r="B15" s="7" t="inlineStr">
        <is>
          <t>Client Sign-Off</t>
        </is>
      </c>
      <c r="C15" s="8" t="inlineStr">
        <is>
          <t>A one-page approval sheet. Pick a room at the top and it fills from the Finish Schedule. Print it, get initials and a signature, then put the date in Approved On.</t>
        </is>
      </c>
    </row>
    <row r="16" ht="18" customHeight="1">
      <c r="B16" s="7" t="inlineStr">
        <is>
          <t>Lists</t>
        </is>
      </c>
      <c r="C16" s="8" t="inlineStr">
        <is>
          <t>Rooms, categories, units, and statuses behind every dropdown. Edit to fit how you build.</t>
        </is>
      </c>
    </row>
    <row r="18" ht="22" customHeight="1">
      <c r="B18" s="4" t="inlineStr">
        <is>
          <t>HOW TO USE IT</t>
        </is>
      </c>
      <c r="C18" s="5" t="n"/>
    </row>
    <row r="19" ht="32" customHeight="1">
      <c r="B19" s="7" t="inlineStr">
        <is>
          <t>Step 1</t>
        </is>
      </c>
      <c r="C19" s="8" t="inlineStr">
        <is>
          <t>Fill in the Project tab: job, client, who can sign changes, contract amount, markups, and the four decide-by dates.</t>
        </is>
      </c>
    </row>
    <row r="20" ht="32" customHeight="1">
      <c r="B20" s="7" t="inlineStr">
        <is>
          <t>Step 2</t>
        </is>
      </c>
      <c r="C20" s="8" t="inlineStr">
        <is>
          <t>On the Finish Schedule, delete the sample rows (6 to 45), then add one row per selection. Write the item the way the client says it.</t>
        </is>
      </c>
    </row>
    <row r="21" ht="32" customHeight="1">
      <c r="B21" s="7" t="inlineStr">
        <is>
          <t>Step 3</t>
        </is>
      </c>
      <c r="C21" s="8" t="inlineStr">
        <is>
          <t>Pick a Decide By phase for every row. The Decision Due date fills in and turns red when it passes without approval.</t>
        </is>
      </c>
    </row>
    <row r="22" ht="32" customHeight="1">
      <c r="B22" s="7" t="inlineStr">
        <is>
          <t>Step 4</t>
        </is>
      </c>
      <c r="C22" s="8" t="inlineStr">
        <is>
          <t>Fill in the spec as you get it: manufacturer, full model number, finish name, qty with a unit, supplier, lead time, and the date it is needed on site.</t>
        </is>
      </c>
    </row>
    <row r="23" ht="32" customHeight="1">
      <c r="B23" s="7" t="inlineStr">
        <is>
          <t>Step 5</t>
        </is>
      </c>
      <c r="C23" s="8" t="inlineStr">
        <is>
          <t>When the client signs, enter Approved On and Approved By. Use the Client Sign-Off tab to print a room at a time.</t>
        </is>
      </c>
    </row>
    <row r="24" ht="32" customHeight="1">
      <c r="B24" s="7" t="inlineStr">
        <is>
          <t>Step 6</t>
        </is>
      </c>
      <c r="C24" s="8" t="inlineStr">
        <is>
          <t>Order only rows that say READY. Watch the Flag column and the Dashboard for anything overdue or coming due in two weeks.</t>
        </is>
      </c>
    </row>
    <row r="26" ht="22" customHeight="1">
      <c r="B26" s="4" t="inlineStr">
        <is>
          <t>COLORS</t>
        </is>
      </c>
      <c r="C26" s="5" t="n"/>
    </row>
    <row r="27" ht="20" customHeight="1">
      <c r="B27" s="9" t="inlineStr">
        <is>
          <t>White cell</t>
        </is>
      </c>
      <c r="C27" s="10" t="inlineStr">
        <is>
          <t>Type here.</t>
        </is>
      </c>
    </row>
    <row r="28" ht="20" customHeight="1">
      <c r="B28" s="11" t="inlineStr">
        <is>
          <t>Gray cell</t>
        </is>
      </c>
      <c r="C28" s="10" t="inlineStr">
        <is>
          <t>Calculates. Leave it alone.</t>
        </is>
      </c>
    </row>
    <row r="29" ht="20" customHeight="1">
      <c r="B29" s="12" t="inlineStr">
        <is>
          <t>READY</t>
        </is>
      </c>
      <c r="C29" s="10" t="inlineStr">
        <is>
          <t>Nothing missing. Order it.</t>
        </is>
      </c>
    </row>
    <row r="30" ht="20" customHeight="1">
      <c r="B30" s="13" t="inlineStr">
        <is>
          <t>Missing / Soon</t>
        </is>
      </c>
      <c r="C30" s="10" t="inlineStr">
        <is>
          <t>Something is blank, or the order-by date is within 14 days.</t>
        </is>
      </c>
    </row>
    <row r="31" ht="20" customHeight="1">
      <c r="B31" s="14" t="inlineStr">
        <is>
          <t>OVERDUE / Over</t>
        </is>
      </c>
      <c r="C31" s="10" t="inlineStr">
        <is>
          <t>Past a deadline, or over allowance without a signature.</t>
        </is>
      </c>
    </row>
    <row r="32" ht="20" customHeight="1">
      <c r="B32" s="15" t="inlineStr">
        <is>
          <t>Ordered</t>
        </is>
      </c>
      <c r="C32" s="10" t="inlineStr">
        <is>
          <t>Ordered, received, or installed.</t>
        </is>
      </c>
    </row>
    <row r="34" ht="22" customHeight="1">
      <c r="B34" s="4" t="inlineStr">
        <is>
          <t>THE SAMPLE JOB</t>
        </is>
      </c>
      <c r="C34" s="5" t="n"/>
    </row>
    <row r="35" ht="62" customHeight="1">
      <c r="B35" s="8" t="inlineStr">
        <is>
          <t>The Lakeshore Residence is made up. Its 40 selections and 5 change orders show every state the sheet can be in: ready, missing a finish, a decision overdue, an order overdue, over allowance and unsigned. Model numbers marked (sample) are illustrative. Dates move with today so the sample always looks live. To start your job, delete Finish Schedule rows 6 to 45 and Change Orders rows 8 to 12 (select the rows, right-click, Delete), then type over the Project tab.</t>
        </is>
      </c>
    </row>
    <row r="37" ht="22" customHeight="1">
      <c r="B37" s="4" t="inlineStr">
        <is>
          <t>WHERE A SPREADSHEET STOPS</t>
        </is>
      </c>
      <c r="C37" s="5" t="n"/>
    </row>
    <row r="38" ht="48" customHeight="1">
      <c r="B38" s="8" t="inlineStr">
        <is>
          <t>A spreadsheet is a good home for one job and one person. It gets hard when the client, the PM, and three suppliers all need the current version, when you want photos and spec sheets on each line, or when you are running several jobs at once. That is what Spec Sheet Builder does: specsheetbuilder.com</t>
        </is>
      </c>
    </row>
    <row r="40">
      <c r="B40" s="16" t="inlineStr">
        <is>
          <t>Made by Spec Sheet Builder. Free to use and change for your own jobs.</t>
        </is>
      </c>
    </row>
  </sheetData>
  <mergeCells count="6">
    <mergeCell ref="B38:C38"/>
    <mergeCell ref="B2:C2"/>
    <mergeCell ref="B7:C7"/>
    <mergeCell ref="B3:C3"/>
    <mergeCell ref="B35:C35"/>
    <mergeCell ref="B4:C4"/>
  </mergeCells>
  <pageMargins left="0.75" right="0.75" top="1" bottom="1" header="0.5" footer="0.5"/>
  <pageSetup orientation="portrait" fitToHeight="0" fitToWidth="1"/>
</worksheet>
</file>

<file path=xl/worksheets/sheet2.xml><?xml version="1.0" encoding="utf-8"?>
<worksheet xmlns="http://schemas.openxmlformats.org/spreadsheetml/2006/main">
  <sheetPr>
    <tabColor rgb="001B2A41"/>
    <outlinePr summaryBelow="1" summaryRight="1"/>
    <pageSetUpPr fitToPage="1"/>
  </sheetPr>
  <dimension ref="B1:I68"/>
  <sheetViews>
    <sheetView showGridLines="0" workbookViewId="0">
      <selection activeCell="A1" sqref="A1"/>
    </sheetView>
  </sheetViews>
  <sheetFormatPr baseColWidth="8" defaultRowHeight="15"/>
  <cols>
    <col width="3" customWidth="1" min="1" max="1"/>
    <col width="20" customWidth="1" min="2" max="2"/>
    <col width="14" customWidth="1" min="3" max="3"/>
    <col width="14" customWidth="1" min="4" max="4"/>
    <col width="14" customWidth="1" min="5" max="5"/>
    <col width="14" customWidth="1" min="6" max="6"/>
    <col width="14" customWidth="1" min="7" max="7"/>
    <col width="14" customWidth="1" min="8" max="8"/>
    <col width="14" customWidth="1" min="9" max="9"/>
    <col width="3" customWidth="1" min="10" max="10"/>
  </cols>
  <sheetData>
    <row r="1" ht="30" customHeight="1">
      <c r="B1" s="17" t="inlineStr">
        <is>
          <t>Dashboard</t>
        </is>
      </c>
    </row>
    <row r="2">
      <c r="B2" s="18" t="str">
        <f>Project!$C$6&amp;"   |   as of "&amp;TEXT(TODAY(),"mmm d, yyyy")</f>
        <v>Lakeshore Residence (sample)   |   as of Sep 21, 2026</v>
      </c>
    </row>
    <row r="3">
      <c r="B3" s="16" t="inlineStr">
        <is>
          <t>Gray numbers calculate from the other tabs. Nothing to type here.</t>
        </is>
      </c>
    </row>
    <row r="4" ht="18" customHeight="1">
      <c r="B4" s="19" t="inlineStr">
        <is>
          <t>SELECTIONS</t>
        </is>
      </c>
      <c r="C4" s="20" t="n"/>
      <c r="D4" s="19" t="inlineStr">
        <is>
          <t>APPROVED</t>
        </is>
      </c>
      <c r="E4" s="20" t="n"/>
      <c r="F4" s="19" t="inlineStr">
        <is>
          <t>READY TO ORDER</t>
        </is>
      </c>
      <c r="G4" s="20" t="n"/>
      <c r="H4" s="19" t="inlineStr">
        <is>
          <t>ORDERED OR LATER</t>
        </is>
      </c>
      <c r="I4" s="20" t="n"/>
    </row>
    <row r="5" ht="30" customHeight="1">
      <c r="B5" s="21">
        <f>COUNTIF('Finish Schedule'!$C$6:$C$305,"?*")</f>
        <v>40</v>
      </c>
      <c r="C5" s="20" t="n"/>
      <c r="D5" s="21">
        <f>COUNTIFS('Finish Schedule'!$C$6:$C$305,"?*",'Finish Schedule'!$X$6:$X$305,"&lt;&gt;")</f>
        <v>29</v>
      </c>
      <c r="E5" s="20" t="n"/>
      <c r="F5" s="21">
        <f>COUNTIF('Finish Schedule'!$Z$6:$Z$305,"READY")</f>
        <v>26</v>
      </c>
      <c r="G5" s="20" t="n"/>
      <c r="H5" s="21">
        <f>COUNTIF('Finish Schedule'!$Z$6:$Z$305,"Ordered")</f>
        <v>3</v>
      </c>
      <c r="I5" s="20" t="n"/>
    </row>
    <row r="6" ht="16" customHeight="1">
      <c r="B6" s="22" t="inlineStr">
        <is>
          <t>lines on the schedule</t>
        </is>
      </c>
      <c r="C6" s="20" t="n"/>
      <c r="D6" s="22" t="str">
        <f>IF(B5=0,"",TEXT(D5/B5,"0%")&amp;" of selections signed")</f>
        <v>73% of selections signed</v>
      </c>
      <c r="E6" s="20" t="n"/>
      <c r="F6" s="22" t="inlineStr">
        <is>
          <t>nothing missing, order today</t>
        </is>
      </c>
      <c r="G6" s="20" t="n"/>
      <c r="H6" s="22" t="inlineStr">
        <is>
          <t>ordered, received, or installed</t>
        </is>
      </c>
      <c r="I6" s="20" t="n"/>
    </row>
    <row r="7">
      <c r="B7" s="23" t="inlineStr">
        <is>
          <t>NEEDS ATTENTION</t>
        </is>
      </c>
    </row>
    <row r="8" ht="18" customHeight="1">
      <c r="B8" s="24" t="inlineStr">
        <is>
          <t>DECISIONS OVERDUE</t>
        </is>
      </c>
      <c r="C8" s="20" t="n"/>
      <c r="D8" s="24" t="inlineStr">
        <is>
          <t>ORDERS OVERDUE</t>
        </is>
      </c>
      <c r="E8" s="20" t="n"/>
      <c r="F8" s="24" t="inlineStr">
        <is>
          <t>ORDER WITHIN 2 WEEKS</t>
        </is>
      </c>
      <c r="G8" s="20" t="n"/>
      <c r="H8" s="24" t="inlineStr">
        <is>
          <t>OVERAGE NOT SIGNED</t>
        </is>
      </c>
      <c r="I8" s="20" t="n"/>
    </row>
    <row r="9" ht="30" customHeight="1">
      <c r="B9" s="25">
        <f>COUNTIF('Finish Schedule'!$AA$6:$AA$305,"DECISION OVERDUE")</f>
        <v>1</v>
      </c>
      <c r="C9" s="20" t="n"/>
      <c r="D9" s="25">
        <f>COUNTIF('Finish Schedule'!$AA$6:$AA$305,"ORDER OVERDUE")</f>
        <v>1</v>
      </c>
      <c r="E9" s="20" t="n"/>
      <c r="F9" s="25">
        <f>COUNTIF('Finish Schedule'!$AA$6:$AA$305,"ORDER SOON")</f>
        <v>2</v>
      </c>
      <c r="G9" s="20" t="n"/>
      <c r="H9" s="26">
        <f>SUM('Finish Schedule'!$AB$6:$AB$305)</f>
        <v>1193</v>
      </c>
      <c r="I9" s="20" t="n"/>
    </row>
    <row r="10" ht="16" customHeight="1">
      <c r="B10" s="27" t="inlineStr">
        <is>
          <t>past decide-by, no approval</t>
        </is>
      </c>
      <c r="C10" s="20" t="n"/>
      <c r="D10" s="27" t="inlineStr">
        <is>
          <t>past order-by date</t>
        </is>
      </c>
      <c r="E10" s="20" t="n"/>
      <c r="F10" s="27" t="inlineStr">
        <is>
          <t>order-by date is close</t>
        </is>
      </c>
      <c r="G10" s="20" t="n"/>
      <c r="H10" s="27" t="inlineStr">
        <is>
          <t>over allowance, no approval</t>
        </is>
      </c>
      <c r="I10" s="20" t="n"/>
    </row>
    <row r="11">
      <c r="B11" s="28" t="inlineStr">
        <is>
          <t>MONEY</t>
        </is>
      </c>
    </row>
    <row r="12" ht="18" customHeight="1">
      <c r="B12" s="19" t="inlineStr">
        <is>
          <t>SELECTIONS TOTAL</t>
        </is>
      </c>
      <c r="C12" s="20" t="n"/>
      <c r="D12" s="19" t="inlineStr">
        <is>
          <t>ALLOWANCE OVER / UNDER</t>
        </is>
      </c>
      <c r="E12" s="20" t="n"/>
      <c r="F12" s="19" t="inlineStr">
        <is>
          <t>SIGNED CHANGE ORDERS</t>
        </is>
      </c>
      <c r="G12" s="20" t="n"/>
      <c r="H12" s="19" t="inlineStr">
        <is>
          <t>REVISED CONTRACT</t>
        </is>
      </c>
      <c r="I12" s="20" t="n"/>
    </row>
    <row r="13" ht="30" customHeight="1">
      <c r="B13" s="29">
        <f>SUM('Finish Schedule'!$O$6:$O$305)</f>
        <v>151677</v>
      </c>
      <c r="C13" s="20" t="n"/>
      <c r="D13" s="30">
        <f>Allowances!$E$15</f>
        <v>4247</v>
      </c>
      <c r="E13" s="20" t="n"/>
      <c r="F13" s="29">
        <f>Project!$C$31</f>
        <v>1322.5</v>
      </c>
      <c r="G13" s="20" t="n"/>
      <c r="H13" s="29">
        <f>Project!$C$33</f>
        <v>691001.7</v>
      </c>
      <c r="I13" s="20" t="n"/>
    </row>
    <row r="14" ht="16" customHeight="1">
      <c r="B14" s="22" t="inlineStr">
        <is>
          <t>actual cost of every line</t>
        </is>
      </c>
      <c r="C14" s="20" t="n"/>
      <c r="D14" s="22" t="inlineStr">
        <is>
          <t>actual minus allowance</t>
        </is>
      </c>
      <c r="E14" s="20" t="n"/>
      <c r="F14" s="22" t="inlineStr">
        <is>
          <t>added to contract</t>
        </is>
      </c>
      <c r="G14" s="20" t="n"/>
      <c r="H14" s="22" t="inlineStr">
        <is>
          <t>projected, if nothing else changes</t>
        </is>
      </c>
      <c r="I14" s="20" t="n"/>
    </row>
    <row r="16" ht="22" customHeight="1">
      <c r="B16" s="4" t="inlineStr">
        <is>
          <t>WHERE EVERY SELECTION STANDS</t>
        </is>
      </c>
      <c r="C16" s="5" t="n"/>
      <c r="D16" s="5" t="n"/>
      <c r="E16" s="5" t="n"/>
      <c r="F16" s="5" t="n"/>
      <c r="G16" s="5" t="n"/>
      <c r="H16" s="5" t="n"/>
      <c r="I16" s="5" t="n"/>
    </row>
    <row r="17" ht="20" customHeight="1">
      <c r="B17" s="31" t="inlineStr">
        <is>
          <t>Status</t>
        </is>
      </c>
      <c r="C17" s="31" t="inlineStr">
        <is>
          <t>Lines</t>
        </is>
      </c>
    </row>
    <row r="18">
      <c r="B18" s="32" t="str">
        <f>Lists!I4</f>
        <v>Pending</v>
      </c>
      <c r="C18" s="33">
        <f>COUNTIF('Finish Schedule'!$W$6:$W$305,B18)</f>
        <v>4</v>
      </c>
    </row>
    <row r="19">
      <c r="B19" s="32" t="str">
        <f>Lists!I5</f>
        <v>Options Sent</v>
      </c>
      <c r="C19" s="33">
        <f>COUNTIF('Finish Schedule'!$W$6:$W$305,B19)</f>
        <v>1</v>
      </c>
    </row>
    <row r="20">
      <c r="B20" s="32" t="str">
        <f>Lists!I6</f>
        <v>Selected</v>
      </c>
      <c r="C20" s="33">
        <f>COUNTIF('Finish Schedule'!$W$6:$W$305,B20)</f>
        <v>6</v>
      </c>
    </row>
    <row r="21">
      <c r="B21" s="32" t="str">
        <f>Lists!I7</f>
        <v>Approved</v>
      </c>
      <c r="C21" s="33">
        <f>COUNTIF('Finish Schedule'!$W$6:$W$305,B21)</f>
        <v>26</v>
      </c>
    </row>
    <row r="22">
      <c r="B22" s="32" t="str">
        <f>Lists!I8</f>
        <v>Ordered</v>
      </c>
      <c r="C22" s="33">
        <f>COUNTIF('Finish Schedule'!$W$6:$W$305,B22)</f>
        <v>3</v>
      </c>
    </row>
    <row r="23">
      <c r="B23" s="32" t="str">
        <f>Lists!I9</f>
        <v>Received</v>
      </c>
      <c r="C23" s="33">
        <f>COUNTIF('Finish Schedule'!$W$6:$W$305,B23)</f>
        <v>0</v>
      </c>
    </row>
    <row r="24">
      <c r="B24" s="32" t="str">
        <f>Lists!I10</f>
        <v>Installed</v>
      </c>
      <c r="C24" s="33">
        <f>COUNTIF('Finish Schedule'!$W$6:$W$305,B24)</f>
        <v>0</v>
      </c>
    </row>
    <row r="25">
      <c r="B25" s="32" t="str">
        <f>Lists!I11</f>
        <v>On Hold</v>
      </c>
      <c r="C25" s="33">
        <f>COUNTIF('Finish Schedule'!$W$6:$W$305,B25)</f>
        <v>0</v>
      </c>
    </row>
    <row r="28" ht="22" customHeight="1">
      <c r="B28" s="4" t="inlineStr">
        <is>
          <t>ALLOWANCE VS ACTUAL, BY CATEGORY</t>
        </is>
      </c>
      <c r="C28" s="5" t="n"/>
      <c r="D28" s="5" t="n"/>
      <c r="E28" s="5" t="n"/>
      <c r="F28" s="5" t="n"/>
      <c r="G28" s="5" t="n"/>
      <c r="H28" s="5" t="n"/>
      <c r="I28" s="5" t="n"/>
    </row>
    <row r="46" ht="22" customHeight="1">
      <c r="B46" s="4" t="inlineStr">
        <is>
          <t>BY ROOM</t>
        </is>
      </c>
      <c r="C46" s="5" t="n"/>
      <c r="D46" s="5" t="n"/>
      <c r="E46" s="5" t="n"/>
      <c r="F46" s="5" t="n"/>
      <c r="G46" s="5" t="n"/>
      <c r="H46" s="5" t="n"/>
      <c r="I46" s="5" t="n"/>
    </row>
    <row r="47" ht="28" customHeight="1">
      <c r="B47" s="31" t="inlineStr">
        <is>
          <t>Room</t>
        </is>
      </c>
      <c r="C47" s="31" t="inlineStr">
        <is>
          <t>Selections</t>
        </is>
      </c>
      <c r="D47" s="31" t="inlineStr">
        <is>
          <t>Approved</t>
        </is>
      </c>
      <c r="E47" s="31" t="inlineStr">
        <is>
          <t>Ready</t>
        </is>
      </c>
      <c r="F47" s="31" t="inlineStr">
        <is>
          <t>Actual</t>
        </is>
      </c>
      <c r="G47" s="31" t="inlineStr">
        <is>
          <t>Allowance</t>
        </is>
      </c>
      <c r="H47" s="31" t="inlineStr">
        <is>
          <t>Over / Under</t>
        </is>
      </c>
      <c r="I47" s="31" t="inlineStr">
        <is>
          <t>Unsigned</t>
        </is>
      </c>
    </row>
    <row r="48">
      <c r="B48" s="32" t="str">
        <f>Lists!C4</f>
        <v>Kitchen</v>
      </c>
      <c r="C48" s="34">
        <f>COUNTIFS('Finish Schedule'!$B$6:$B$305,B48,'Finish Schedule'!$C$6:$C$305,"?*")</f>
        <v>9</v>
      </c>
      <c r="D48" s="34">
        <f>COUNTIFS('Finish Schedule'!$B$6:$B$305,B48,'Finish Schedule'!$C$6:$C$305,"?*",'Finish Schedule'!$X$6:$X$305,"&lt;&gt;")</f>
        <v>7</v>
      </c>
      <c r="E48" s="34">
        <f>COUNTIFS('Finish Schedule'!$B$6:$B$305,B48,'Finish Schedule'!$Z$6:$Z$305,"READY")</f>
        <v>7</v>
      </c>
      <c r="F48" s="35">
        <f>SUMIFS('Finish Schedule'!$O$6:$O$305,'Finish Schedule'!$B$6:$B$305,B48)</f>
        <v>47955</v>
      </c>
      <c r="G48" s="35">
        <f>SUMIFS('Finish Schedule'!$P$6:$P$305,'Finish Schedule'!$B$6:$B$305,B48)</f>
        <v>45460</v>
      </c>
      <c r="H48" s="36">
        <f>SUMIFS('Finish Schedule'!$O$6:$O$305,'Finish Schedule'!$B$6:$B$305,B48,'Finish Schedule'!$P$6:$P$305,"&lt;&gt;")-G48</f>
        <v>2495</v>
      </c>
      <c r="I48" s="35">
        <f>SUMIFS('Finish Schedule'!$AB$6:$AB$305,'Finish Schedule'!$B$6:$B$305,B48)</f>
        <v>93</v>
      </c>
    </row>
    <row r="49">
      <c r="B49" s="32" t="str">
        <f>Lists!C5</f>
        <v>Pantry</v>
      </c>
      <c r="C49" s="34">
        <f>COUNTIFS('Finish Schedule'!$B$6:$B$305,B49,'Finish Schedule'!$C$6:$C$305,"?*")</f>
        <v>0</v>
      </c>
      <c r="D49" s="34">
        <f>COUNTIFS('Finish Schedule'!$B$6:$B$305,B49,'Finish Schedule'!$C$6:$C$305,"?*",'Finish Schedule'!$X$6:$X$305,"&lt;&gt;")</f>
        <v>0</v>
      </c>
      <c r="E49" s="34">
        <f>COUNTIFS('Finish Schedule'!$B$6:$B$305,B49,'Finish Schedule'!$Z$6:$Z$305,"READY")</f>
        <v>0</v>
      </c>
      <c r="F49" s="35">
        <f>SUMIFS('Finish Schedule'!$O$6:$O$305,'Finish Schedule'!$B$6:$B$305,B49)</f>
        <v>0</v>
      </c>
      <c r="G49" s="35">
        <f>SUMIFS('Finish Schedule'!$P$6:$P$305,'Finish Schedule'!$B$6:$B$305,B49)</f>
        <v>0</v>
      </c>
      <c r="H49" s="36">
        <f>SUMIFS('Finish Schedule'!$O$6:$O$305,'Finish Schedule'!$B$6:$B$305,B49,'Finish Schedule'!$P$6:$P$305,"&lt;&gt;")-G49</f>
        <v>0</v>
      </c>
      <c r="I49" s="35">
        <f>SUMIFS('Finish Schedule'!$AB$6:$AB$305,'Finish Schedule'!$B$6:$B$305,B49)</f>
        <v>0</v>
      </c>
    </row>
    <row r="50">
      <c r="B50" s="32" t="str">
        <f>Lists!C6</f>
        <v>Dining</v>
      </c>
      <c r="C50" s="34">
        <f>COUNTIFS('Finish Schedule'!$B$6:$B$305,B50,'Finish Schedule'!$C$6:$C$305,"?*")</f>
        <v>0</v>
      </c>
      <c r="D50" s="34">
        <f>COUNTIFS('Finish Schedule'!$B$6:$B$305,B50,'Finish Schedule'!$C$6:$C$305,"?*",'Finish Schedule'!$X$6:$X$305,"&lt;&gt;")</f>
        <v>0</v>
      </c>
      <c r="E50" s="34">
        <f>COUNTIFS('Finish Schedule'!$B$6:$B$305,B50,'Finish Schedule'!$Z$6:$Z$305,"READY")</f>
        <v>0</v>
      </c>
      <c r="F50" s="35">
        <f>SUMIFS('Finish Schedule'!$O$6:$O$305,'Finish Schedule'!$B$6:$B$305,B50)</f>
        <v>0</v>
      </c>
      <c r="G50" s="35">
        <f>SUMIFS('Finish Schedule'!$P$6:$P$305,'Finish Schedule'!$B$6:$B$305,B50)</f>
        <v>0</v>
      </c>
      <c r="H50" s="36">
        <f>SUMIFS('Finish Schedule'!$O$6:$O$305,'Finish Schedule'!$B$6:$B$305,B50,'Finish Schedule'!$P$6:$P$305,"&lt;&gt;")-G50</f>
        <v>0</v>
      </c>
      <c r="I50" s="35">
        <f>SUMIFS('Finish Schedule'!$AB$6:$AB$305,'Finish Schedule'!$B$6:$B$305,B50)</f>
        <v>0</v>
      </c>
    </row>
    <row r="51">
      <c r="B51" s="32" t="str">
        <f>Lists!C7</f>
        <v>Great Room</v>
      </c>
      <c r="C51" s="34">
        <f>COUNTIFS('Finish Schedule'!$B$6:$B$305,B51,'Finish Schedule'!$C$6:$C$305,"?*")</f>
        <v>1</v>
      </c>
      <c r="D51" s="34">
        <f>COUNTIFS('Finish Schedule'!$B$6:$B$305,B51,'Finish Schedule'!$C$6:$C$305,"?*",'Finish Schedule'!$X$6:$X$305,"&lt;&gt;")</f>
        <v>1</v>
      </c>
      <c r="E51" s="34">
        <f>COUNTIFS('Finish Schedule'!$B$6:$B$305,B51,'Finish Schedule'!$Z$6:$Z$305,"READY")</f>
        <v>1</v>
      </c>
      <c r="F51" s="35">
        <f>SUMIFS('Finish Schedule'!$O$6:$O$305,'Finish Schedule'!$B$6:$B$305,B51)</f>
        <v>4200</v>
      </c>
      <c r="G51" s="35">
        <f>SUMIFS('Finish Schedule'!$P$6:$P$305,'Finish Schedule'!$B$6:$B$305,B51)</f>
        <v>4500</v>
      </c>
      <c r="H51" s="36">
        <f>SUMIFS('Finish Schedule'!$O$6:$O$305,'Finish Schedule'!$B$6:$B$305,B51,'Finish Schedule'!$P$6:$P$305,"&lt;&gt;")-G51</f>
        <v>-300</v>
      </c>
      <c r="I51" s="35">
        <f>SUMIFS('Finish Schedule'!$AB$6:$AB$305,'Finish Schedule'!$B$6:$B$305,B51)</f>
        <v>0</v>
      </c>
    </row>
    <row r="52">
      <c r="B52" s="32" t="str">
        <f>Lists!C8</f>
        <v>Entry / Foyer</v>
      </c>
      <c r="C52" s="34">
        <f>COUNTIFS('Finish Schedule'!$B$6:$B$305,B52,'Finish Schedule'!$C$6:$C$305,"?*")</f>
        <v>1</v>
      </c>
      <c r="D52" s="34">
        <f>COUNTIFS('Finish Schedule'!$B$6:$B$305,B52,'Finish Schedule'!$C$6:$C$305,"?*",'Finish Schedule'!$X$6:$X$305,"&lt;&gt;")</f>
        <v>1</v>
      </c>
      <c r="E52" s="34">
        <f>COUNTIFS('Finish Schedule'!$B$6:$B$305,B52,'Finish Schedule'!$Z$6:$Z$305,"READY")</f>
        <v>1</v>
      </c>
      <c r="F52" s="35">
        <f>SUMIFS('Finish Schedule'!$O$6:$O$305,'Finish Schedule'!$B$6:$B$305,B52)</f>
        <v>3850</v>
      </c>
      <c r="G52" s="35">
        <f>SUMIFS('Finish Schedule'!$P$6:$P$305,'Finish Schedule'!$B$6:$B$305,B52)</f>
        <v>3500</v>
      </c>
      <c r="H52" s="36">
        <f>SUMIFS('Finish Schedule'!$O$6:$O$305,'Finish Schedule'!$B$6:$B$305,B52,'Finish Schedule'!$P$6:$P$305,"&lt;&gt;")-G52</f>
        <v>350</v>
      </c>
      <c r="I52" s="35">
        <f>SUMIFS('Finish Schedule'!$AB$6:$AB$305,'Finish Schedule'!$B$6:$B$305,B52)</f>
        <v>0</v>
      </c>
    </row>
    <row r="53">
      <c r="B53" s="32" t="str">
        <f>Lists!C9</f>
        <v>Mudroom</v>
      </c>
      <c r="C53" s="34">
        <f>COUNTIFS('Finish Schedule'!$B$6:$B$305,B53,'Finish Schedule'!$C$6:$C$305,"?*")</f>
        <v>0</v>
      </c>
      <c r="D53" s="34">
        <f>COUNTIFS('Finish Schedule'!$B$6:$B$305,B53,'Finish Schedule'!$C$6:$C$305,"?*",'Finish Schedule'!$X$6:$X$305,"&lt;&gt;")</f>
        <v>0</v>
      </c>
      <c r="E53" s="34">
        <f>COUNTIFS('Finish Schedule'!$B$6:$B$305,B53,'Finish Schedule'!$Z$6:$Z$305,"READY")</f>
        <v>0</v>
      </c>
      <c r="F53" s="35">
        <f>SUMIFS('Finish Schedule'!$O$6:$O$305,'Finish Schedule'!$B$6:$B$305,B53)</f>
        <v>0</v>
      </c>
      <c r="G53" s="35">
        <f>SUMIFS('Finish Schedule'!$P$6:$P$305,'Finish Schedule'!$B$6:$B$305,B53)</f>
        <v>0</v>
      </c>
      <c r="H53" s="36">
        <f>SUMIFS('Finish Schedule'!$O$6:$O$305,'Finish Schedule'!$B$6:$B$305,B53,'Finish Schedule'!$P$6:$P$305,"&lt;&gt;")-G53</f>
        <v>0</v>
      </c>
      <c r="I53" s="35">
        <f>SUMIFS('Finish Schedule'!$AB$6:$AB$305,'Finish Schedule'!$B$6:$B$305,B53)</f>
        <v>0</v>
      </c>
    </row>
    <row r="54">
      <c r="B54" s="32" t="str">
        <f>Lists!C10</f>
        <v>Laundry</v>
      </c>
      <c r="C54" s="34">
        <f>COUNTIFS('Finish Schedule'!$B$6:$B$305,B54,'Finish Schedule'!$C$6:$C$305,"?*")</f>
        <v>1</v>
      </c>
      <c r="D54" s="34">
        <f>COUNTIFS('Finish Schedule'!$B$6:$B$305,B54,'Finish Schedule'!$C$6:$C$305,"?*",'Finish Schedule'!$X$6:$X$305,"&lt;&gt;")</f>
        <v>1</v>
      </c>
      <c r="E54" s="34">
        <f>COUNTIFS('Finish Schedule'!$B$6:$B$305,B54,'Finish Schedule'!$Z$6:$Z$305,"READY")</f>
        <v>1</v>
      </c>
      <c r="F54" s="35">
        <f>SUMIFS('Finish Schedule'!$O$6:$O$305,'Finish Schedule'!$B$6:$B$305,B54)</f>
        <v>65</v>
      </c>
      <c r="G54" s="35">
        <f>SUMIFS('Finish Schedule'!$P$6:$P$305,'Finish Schedule'!$B$6:$B$305,B54)</f>
        <v>0</v>
      </c>
      <c r="H54" s="36">
        <f>SUMIFS('Finish Schedule'!$O$6:$O$305,'Finish Schedule'!$B$6:$B$305,B54,'Finish Schedule'!$P$6:$P$305,"&lt;&gt;")-G54</f>
        <v>0</v>
      </c>
      <c r="I54" s="35">
        <f>SUMIFS('Finish Schedule'!$AB$6:$AB$305,'Finish Schedule'!$B$6:$B$305,B54)</f>
        <v>0</v>
      </c>
    </row>
    <row r="55">
      <c r="B55" s="32" t="str">
        <f>Lists!C11</f>
        <v>Powder Room</v>
      </c>
      <c r="C55" s="34">
        <f>COUNTIFS('Finish Schedule'!$B$6:$B$305,B55,'Finish Schedule'!$C$6:$C$305,"?*")</f>
        <v>1</v>
      </c>
      <c r="D55" s="34">
        <f>COUNTIFS('Finish Schedule'!$B$6:$B$305,B55,'Finish Schedule'!$C$6:$C$305,"?*",'Finish Schedule'!$X$6:$X$305,"&lt;&gt;")</f>
        <v>0</v>
      </c>
      <c r="E55" s="34">
        <f>COUNTIFS('Finish Schedule'!$B$6:$B$305,B55,'Finish Schedule'!$Z$6:$Z$305,"READY")</f>
        <v>0</v>
      </c>
      <c r="F55" s="35">
        <f>SUMIFS('Finish Schedule'!$O$6:$O$305,'Finish Schedule'!$B$6:$B$305,B55)</f>
        <v>2100</v>
      </c>
      <c r="G55" s="35">
        <f>SUMIFS('Finish Schedule'!$P$6:$P$305,'Finish Schedule'!$B$6:$B$305,B55)</f>
        <v>1800</v>
      </c>
      <c r="H55" s="36">
        <f>SUMIFS('Finish Schedule'!$O$6:$O$305,'Finish Schedule'!$B$6:$B$305,B55,'Finish Schedule'!$P$6:$P$305,"&lt;&gt;")-G55</f>
        <v>300</v>
      </c>
      <c r="I55" s="35">
        <f>SUMIFS('Finish Schedule'!$AB$6:$AB$305,'Finish Schedule'!$B$6:$B$305,B55)</f>
        <v>300</v>
      </c>
    </row>
    <row r="56">
      <c r="B56" s="32" t="str">
        <f>Lists!C12</f>
        <v>Primary Bedroom</v>
      </c>
      <c r="C56" s="34">
        <f>COUNTIFS('Finish Schedule'!$B$6:$B$305,B56,'Finish Schedule'!$C$6:$C$305,"?*")</f>
        <v>1</v>
      </c>
      <c r="D56" s="34">
        <f>COUNTIFS('Finish Schedule'!$B$6:$B$305,B56,'Finish Schedule'!$C$6:$C$305,"?*",'Finish Schedule'!$X$6:$X$305,"&lt;&gt;")</f>
        <v>0</v>
      </c>
      <c r="E56" s="34">
        <f>COUNTIFS('Finish Schedule'!$B$6:$B$305,B56,'Finish Schedule'!$Z$6:$Z$305,"READY")</f>
        <v>0</v>
      </c>
      <c r="F56" s="35">
        <f>SUMIFS('Finish Schedule'!$O$6:$O$305,'Finish Schedule'!$B$6:$B$305,B56)</f>
        <v>420</v>
      </c>
      <c r="G56" s="35">
        <f>SUMIFS('Finish Schedule'!$P$6:$P$305,'Finish Schedule'!$B$6:$B$305,B56)</f>
        <v>450</v>
      </c>
      <c r="H56" s="36">
        <f>SUMIFS('Finish Schedule'!$O$6:$O$305,'Finish Schedule'!$B$6:$B$305,B56,'Finish Schedule'!$P$6:$P$305,"&lt;&gt;")-G56</f>
        <v>-30</v>
      </c>
      <c r="I56" s="35">
        <f>SUMIFS('Finish Schedule'!$AB$6:$AB$305,'Finish Schedule'!$B$6:$B$305,B56)</f>
        <v>0</v>
      </c>
    </row>
    <row r="57">
      <c r="B57" s="32" t="str">
        <f>Lists!C13</f>
        <v>Primary Bath</v>
      </c>
      <c r="C57" s="34">
        <f>COUNTIFS('Finish Schedule'!$B$6:$B$305,B57,'Finish Schedule'!$C$6:$C$305,"?*")</f>
        <v>10</v>
      </c>
      <c r="D57" s="34">
        <f>COUNTIFS('Finish Schedule'!$B$6:$B$305,B57,'Finish Schedule'!$C$6:$C$305,"?*",'Finish Schedule'!$X$6:$X$305,"&lt;&gt;")</f>
        <v>7</v>
      </c>
      <c r="E57" s="34">
        <f>COUNTIFS('Finish Schedule'!$B$6:$B$305,B57,'Finish Schedule'!$Z$6:$Z$305,"READY")</f>
        <v>7</v>
      </c>
      <c r="F57" s="35">
        <f>SUMIFS('Finish Schedule'!$O$6:$O$305,'Finish Schedule'!$B$6:$B$305,B57)</f>
        <v>5814</v>
      </c>
      <c r="G57" s="35">
        <f>SUMIFS('Finish Schedule'!$P$6:$P$305,'Finish Schedule'!$B$6:$B$305,B57)</f>
        <v>4100</v>
      </c>
      <c r="H57" s="36">
        <f>SUMIFS('Finish Schedule'!$O$6:$O$305,'Finish Schedule'!$B$6:$B$305,B57,'Finish Schedule'!$P$6:$P$305,"&lt;&gt;")-G57</f>
        <v>255</v>
      </c>
      <c r="I57" s="35">
        <f>SUMIFS('Finish Schedule'!$AB$6:$AB$305,'Finish Schedule'!$B$6:$B$305,B57)</f>
        <v>0</v>
      </c>
    </row>
    <row r="58">
      <c r="B58" s="32" t="str">
        <f>Lists!C14</f>
        <v>Primary Closet</v>
      </c>
      <c r="C58" s="34">
        <f>COUNTIFS('Finish Schedule'!$B$6:$B$305,B58,'Finish Schedule'!$C$6:$C$305,"?*")</f>
        <v>0</v>
      </c>
      <c r="D58" s="34">
        <f>COUNTIFS('Finish Schedule'!$B$6:$B$305,B58,'Finish Schedule'!$C$6:$C$305,"?*",'Finish Schedule'!$X$6:$X$305,"&lt;&gt;")</f>
        <v>0</v>
      </c>
      <c r="E58" s="34">
        <f>COUNTIFS('Finish Schedule'!$B$6:$B$305,B58,'Finish Schedule'!$Z$6:$Z$305,"READY")</f>
        <v>0</v>
      </c>
      <c r="F58" s="35">
        <f>SUMIFS('Finish Schedule'!$O$6:$O$305,'Finish Schedule'!$B$6:$B$305,B58)</f>
        <v>0</v>
      </c>
      <c r="G58" s="35">
        <f>SUMIFS('Finish Schedule'!$P$6:$P$305,'Finish Schedule'!$B$6:$B$305,B58)</f>
        <v>0</v>
      </c>
      <c r="H58" s="36">
        <f>SUMIFS('Finish Schedule'!$O$6:$O$305,'Finish Schedule'!$B$6:$B$305,B58,'Finish Schedule'!$P$6:$P$305,"&lt;&gt;")-G58</f>
        <v>0</v>
      </c>
      <c r="I58" s="35">
        <f>SUMIFS('Finish Schedule'!$AB$6:$AB$305,'Finish Schedule'!$B$6:$B$305,B58)</f>
        <v>0</v>
      </c>
    </row>
    <row r="59">
      <c r="B59" s="32" t="str">
        <f>Lists!C15</f>
        <v>Guest Bath</v>
      </c>
      <c r="C59" s="34">
        <f>COUNTIFS('Finish Schedule'!$B$6:$B$305,B59,'Finish Schedule'!$C$6:$C$305,"?*")</f>
        <v>2</v>
      </c>
      <c r="D59" s="34">
        <f>COUNTIFS('Finish Schedule'!$B$6:$B$305,B59,'Finish Schedule'!$C$6:$C$305,"?*",'Finish Schedule'!$X$6:$X$305,"&lt;&gt;")</f>
        <v>0</v>
      </c>
      <c r="E59" s="34">
        <f>COUNTIFS('Finish Schedule'!$B$6:$B$305,B59,'Finish Schedule'!$Z$6:$Z$305,"READY")</f>
        <v>0</v>
      </c>
      <c r="F59" s="35">
        <f>SUMIFS('Finish Schedule'!$O$6:$O$305,'Finish Schedule'!$B$6:$B$305,B59)</f>
        <v>1557.5</v>
      </c>
      <c r="G59" s="35">
        <f>SUMIFS('Finish Schedule'!$P$6:$P$305,'Finish Schedule'!$B$6:$B$305,B59)</f>
        <v>840</v>
      </c>
      <c r="H59" s="36">
        <f>SUMIFS('Finish Schedule'!$O$6:$O$305,'Finish Schedule'!$B$6:$B$305,B59,'Finish Schedule'!$P$6:$P$305,"&lt;&gt;")-G59</f>
        <v>717.5</v>
      </c>
      <c r="I59" s="35">
        <f>SUMIFS('Finish Schedule'!$AB$6:$AB$305,'Finish Schedule'!$B$6:$B$305,B59)</f>
        <v>800</v>
      </c>
    </row>
    <row r="60">
      <c r="B60" s="32" t="str">
        <f>Lists!C16</f>
        <v>Bedroom 2</v>
      </c>
      <c r="C60" s="34">
        <f>COUNTIFS('Finish Schedule'!$B$6:$B$305,B60,'Finish Schedule'!$C$6:$C$305,"?*")</f>
        <v>1</v>
      </c>
      <c r="D60" s="34">
        <f>COUNTIFS('Finish Schedule'!$B$6:$B$305,B60,'Finish Schedule'!$C$6:$C$305,"?*",'Finish Schedule'!$X$6:$X$305,"&lt;&gt;")</f>
        <v>0</v>
      </c>
      <c r="E60" s="34">
        <f>COUNTIFS('Finish Schedule'!$B$6:$B$305,B60,'Finish Schedule'!$Z$6:$Z$305,"READY")</f>
        <v>0</v>
      </c>
      <c r="F60" s="35">
        <f>SUMIFS('Finish Schedule'!$O$6:$O$305,'Finish Schedule'!$B$6:$B$305,B60)</f>
        <v>1512</v>
      </c>
      <c r="G60" s="35">
        <f>SUMIFS('Finish Schedule'!$P$6:$P$305,'Finish Schedule'!$B$6:$B$305,B60)</f>
        <v>1680</v>
      </c>
      <c r="H60" s="36">
        <f>SUMIFS('Finish Schedule'!$O$6:$O$305,'Finish Schedule'!$B$6:$B$305,B60,'Finish Schedule'!$P$6:$P$305,"&lt;&gt;")-G60</f>
        <v>-168</v>
      </c>
      <c r="I60" s="35">
        <f>SUMIFS('Finish Schedule'!$AB$6:$AB$305,'Finish Schedule'!$B$6:$B$305,B60)</f>
        <v>0</v>
      </c>
    </row>
    <row r="61">
      <c r="B61" s="32" t="str">
        <f>Lists!C17</f>
        <v>Bedroom 3</v>
      </c>
      <c r="C61" s="34">
        <f>COUNTIFS('Finish Schedule'!$B$6:$B$305,B61,'Finish Schedule'!$C$6:$C$305,"?*")</f>
        <v>0</v>
      </c>
      <c r="D61" s="34">
        <f>COUNTIFS('Finish Schedule'!$B$6:$B$305,B61,'Finish Schedule'!$C$6:$C$305,"?*",'Finish Schedule'!$X$6:$X$305,"&lt;&gt;")</f>
        <v>0</v>
      </c>
      <c r="E61" s="34">
        <f>COUNTIFS('Finish Schedule'!$B$6:$B$305,B61,'Finish Schedule'!$Z$6:$Z$305,"READY")</f>
        <v>0</v>
      </c>
      <c r="F61" s="35">
        <f>SUMIFS('Finish Schedule'!$O$6:$O$305,'Finish Schedule'!$B$6:$B$305,B61)</f>
        <v>0</v>
      </c>
      <c r="G61" s="35">
        <f>SUMIFS('Finish Schedule'!$P$6:$P$305,'Finish Schedule'!$B$6:$B$305,B61)</f>
        <v>0</v>
      </c>
      <c r="H61" s="36">
        <f>SUMIFS('Finish Schedule'!$O$6:$O$305,'Finish Schedule'!$B$6:$B$305,B61,'Finish Schedule'!$P$6:$P$305,"&lt;&gt;")-G61</f>
        <v>0</v>
      </c>
      <c r="I61" s="35">
        <f>SUMIFS('Finish Schedule'!$AB$6:$AB$305,'Finish Schedule'!$B$6:$B$305,B61)</f>
        <v>0</v>
      </c>
    </row>
    <row r="62">
      <c r="B62" s="32" t="str">
        <f>Lists!C18</f>
        <v>Hall Bath</v>
      </c>
      <c r="C62" s="34">
        <f>COUNTIFS('Finish Schedule'!$B$6:$B$305,B62,'Finish Schedule'!$C$6:$C$305,"?*")</f>
        <v>0</v>
      </c>
      <c r="D62" s="34">
        <f>COUNTIFS('Finish Schedule'!$B$6:$B$305,B62,'Finish Schedule'!$C$6:$C$305,"?*",'Finish Schedule'!$X$6:$X$305,"&lt;&gt;")</f>
        <v>0</v>
      </c>
      <c r="E62" s="34">
        <f>COUNTIFS('Finish Schedule'!$B$6:$B$305,B62,'Finish Schedule'!$Z$6:$Z$305,"READY")</f>
        <v>0</v>
      </c>
      <c r="F62" s="35">
        <f>SUMIFS('Finish Schedule'!$O$6:$O$305,'Finish Schedule'!$B$6:$B$305,B62)</f>
        <v>0</v>
      </c>
      <c r="G62" s="35">
        <f>SUMIFS('Finish Schedule'!$P$6:$P$305,'Finish Schedule'!$B$6:$B$305,B62)</f>
        <v>0</v>
      </c>
      <c r="H62" s="36">
        <f>SUMIFS('Finish Schedule'!$O$6:$O$305,'Finish Schedule'!$B$6:$B$305,B62,'Finish Schedule'!$P$6:$P$305,"&lt;&gt;")-G62</f>
        <v>0</v>
      </c>
      <c r="I62" s="35">
        <f>SUMIFS('Finish Schedule'!$AB$6:$AB$305,'Finish Schedule'!$B$6:$B$305,B62)</f>
        <v>0</v>
      </c>
    </row>
    <row r="63">
      <c r="B63" s="32" t="str">
        <f>Lists!C19</f>
        <v>Office</v>
      </c>
      <c r="C63" s="34">
        <f>COUNTIFS('Finish Schedule'!$B$6:$B$305,B63,'Finish Schedule'!$C$6:$C$305,"?*")</f>
        <v>1</v>
      </c>
      <c r="D63" s="34">
        <f>COUNTIFS('Finish Schedule'!$B$6:$B$305,B63,'Finish Schedule'!$C$6:$C$305,"?*",'Finish Schedule'!$X$6:$X$305,"&lt;&gt;")</f>
        <v>1</v>
      </c>
      <c r="E63" s="34">
        <f>COUNTIFS('Finish Schedule'!$B$6:$B$305,B63,'Finish Schedule'!$Z$6:$Z$305,"READY")</f>
        <v>1</v>
      </c>
      <c r="F63" s="35">
        <f>SUMIFS('Finish Schedule'!$O$6:$O$305,'Finish Schedule'!$B$6:$B$305,B63)</f>
        <v>650</v>
      </c>
      <c r="G63" s="35">
        <f>SUMIFS('Finish Schedule'!$P$6:$P$305,'Finish Schedule'!$B$6:$B$305,B63)</f>
        <v>0</v>
      </c>
      <c r="H63" s="36">
        <f>SUMIFS('Finish Schedule'!$O$6:$O$305,'Finish Schedule'!$B$6:$B$305,B63,'Finish Schedule'!$P$6:$P$305,"&lt;&gt;")-G63</f>
        <v>0</v>
      </c>
      <c r="I63" s="35">
        <f>SUMIFS('Finish Schedule'!$AB$6:$AB$305,'Finish Schedule'!$B$6:$B$305,B63)</f>
        <v>0</v>
      </c>
    </row>
    <row r="64">
      <c r="B64" s="32" t="str">
        <f>Lists!C20</f>
        <v>Bonus Room</v>
      </c>
      <c r="C64" s="34">
        <f>COUNTIFS('Finish Schedule'!$B$6:$B$305,B64,'Finish Schedule'!$C$6:$C$305,"?*")</f>
        <v>0</v>
      </c>
      <c r="D64" s="34">
        <f>COUNTIFS('Finish Schedule'!$B$6:$B$305,B64,'Finish Schedule'!$C$6:$C$305,"?*",'Finish Schedule'!$X$6:$X$305,"&lt;&gt;")</f>
        <v>0</v>
      </c>
      <c r="E64" s="34">
        <f>COUNTIFS('Finish Schedule'!$B$6:$B$305,B64,'Finish Schedule'!$Z$6:$Z$305,"READY")</f>
        <v>0</v>
      </c>
      <c r="F64" s="35">
        <f>SUMIFS('Finish Schedule'!$O$6:$O$305,'Finish Schedule'!$B$6:$B$305,B64)</f>
        <v>0</v>
      </c>
      <c r="G64" s="35">
        <f>SUMIFS('Finish Schedule'!$P$6:$P$305,'Finish Schedule'!$B$6:$B$305,B64)</f>
        <v>0</v>
      </c>
      <c r="H64" s="36">
        <f>SUMIFS('Finish Schedule'!$O$6:$O$305,'Finish Schedule'!$B$6:$B$305,B64,'Finish Schedule'!$P$6:$P$305,"&lt;&gt;")-G64</f>
        <v>0</v>
      </c>
      <c r="I64" s="35">
        <f>SUMIFS('Finish Schedule'!$AB$6:$AB$305,'Finish Schedule'!$B$6:$B$305,B64)</f>
        <v>0</v>
      </c>
    </row>
    <row r="65">
      <c r="B65" s="32" t="str">
        <f>Lists!C21</f>
        <v>Garage</v>
      </c>
      <c r="C65" s="34">
        <f>COUNTIFS('Finish Schedule'!$B$6:$B$305,B65,'Finish Schedule'!$C$6:$C$305,"?*")</f>
        <v>1</v>
      </c>
      <c r="D65" s="34">
        <f>COUNTIFS('Finish Schedule'!$B$6:$B$305,B65,'Finish Schedule'!$C$6:$C$305,"?*",'Finish Schedule'!$X$6:$X$305,"&lt;&gt;")</f>
        <v>1</v>
      </c>
      <c r="E65" s="34">
        <f>COUNTIFS('Finish Schedule'!$B$6:$B$305,B65,'Finish Schedule'!$Z$6:$Z$305,"READY")</f>
        <v>1</v>
      </c>
      <c r="F65" s="35">
        <f>SUMIFS('Finish Schedule'!$O$6:$O$305,'Finish Schedule'!$B$6:$B$305,B65)</f>
        <v>2650</v>
      </c>
      <c r="G65" s="35">
        <f>SUMIFS('Finish Schedule'!$P$6:$P$305,'Finish Schedule'!$B$6:$B$305,B65)</f>
        <v>0</v>
      </c>
      <c r="H65" s="36">
        <f>SUMIFS('Finish Schedule'!$O$6:$O$305,'Finish Schedule'!$B$6:$B$305,B65,'Finish Schedule'!$P$6:$P$305,"&lt;&gt;")-G65</f>
        <v>0</v>
      </c>
      <c r="I65" s="35">
        <f>SUMIFS('Finish Schedule'!$AB$6:$AB$305,'Finish Schedule'!$B$6:$B$305,B65)</f>
        <v>0</v>
      </c>
    </row>
    <row r="66">
      <c r="B66" s="32" t="str">
        <f>Lists!C22</f>
        <v>Exterior</v>
      </c>
      <c r="C66" s="34">
        <f>COUNTIFS('Finish Schedule'!$B$6:$B$305,B66,'Finish Schedule'!$C$6:$C$305,"?*")</f>
        <v>3</v>
      </c>
      <c r="D66" s="34">
        <f>COUNTIFS('Finish Schedule'!$B$6:$B$305,B66,'Finish Schedule'!$C$6:$C$305,"?*",'Finish Schedule'!$X$6:$X$305,"&lt;&gt;")</f>
        <v>2</v>
      </c>
      <c r="E66" s="34">
        <f>COUNTIFS('Finish Schedule'!$B$6:$B$305,B66,'Finish Schedule'!$Z$6:$Z$305,"READY")</f>
        <v>0</v>
      </c>
      <c r="F66" s="35">
        <f>SUMIFS('Finish Schedule'!$O$6:$O$305,'Finish Schedule'!$B$6:$B$305,B66)</f>
        <v>58524</v>
      </c>
      <c r="G66" s="35">
        <f>SUMIFS('Finish Schedule'!$P$6:$P$305,'Finish Schedule'!$B$6:$B$305,B66)</f>
        <v>0</v>
      </c>
      <c r="H66" s="36">
        <f>SUMIFS('Finish Schedule'!$O$6:$O$305,'Finish Schedule'!$B$6:$B$305,B66,'Finish Schedule'!$P$6:$P$305,"&lt;&gt;")-G66</f>
        <v>0</v>
      </c>
      <c r="I66" s="35">
        <f>SUMIFS('Finish Schedule'!$AB$6:$AB$305,'Finish Schedule'!$B$6:$B$305,B66)</f>
        <v>0</v>
      </c>
    </row>
    <row r="67">
      <c r="B67" s="32" t="str">
        <f>Lists!C23</f>
        <v>Whole House</v>
      </c>
      <c r="C67" s="34">
        <f>COUNTIFS('Finish Schedule'!$B$6:$B$305,B67,'Finish Schedule'!$C$6:$C$305,"?*")</f>
        <v>8</v>
      </c>
      <c r="D67" s="34">
        <f>COUNTIFS('Finish Schedule'!$B$6:$B$305,B67,'Finish Schedule'!$C$6:$C$305,"?*",'Finish Schedule'!$X$6:$X$305,"&lt;&gt;")</f>
        <v>8</v>
      </c>
      <c r="E67" s="34">
        <f>COUNTIFS('Finish Schedule'!$B$6:$B$305,B67,'Finish Schedule'!$Z$6:$Z$305,"READY")</f>
        <v>7</v>
      </c>
      <c r="F67" s="35">
        <f>SUMIFS('Finish Schedule'!$O$6:$O$305,'Finish Schedule'!$B$6:$B$305,B67)</f>
        <v>22379.5</v>
      </c>
      <c r="G67" s="35">
        <f>SUMIFS('Finish Schedule'!$P$6:$P$305,'Finish Schedule'!$B$6:$B$305,B67)</f>
        <v>9000</v>
      </c>
      <c r="H67" s="36">
        <f>SUMIFS('Finish Schedule'!$O$6:$O$305,'Finish Schedule'!$B$6:$B$305,B67,'Finish Schedule'!$P$6:$P$305,"&lt;&gt;")-G67</f>
        <v>627.5</v>
      </c>
      <c r="I67" s="35">
        <f>SUMIFS('Finish Schedule'!$AB$6:$AB$305,'Finish Schedule'!$B$6:$B$305,B67)</f>
        <v>0</v>
      </c>
    </row>
    <row r="68">
      <c r="B68" s="16" t="inlineStr">
        <is>
          <t>Room names come from the Lists tab. Over / Under counts only lines that carry an allowance.</t>
        </is>
      </c>
    </row>
  </sheetData>
  <mergeCells count="36">
    <mergeCell ref="F4:G4"/>
    <mergeCell ref="D10:E10"/>
    <mergeCell ref="F10:G10"/>
    <mergeCell ref="H10:I10"/>
    <mergeCell ref="F6:G6"/>
    <mergeCell ref="H4:I4"/>
    <mergeCell ref="H9:I9"/>
    <mergeCell ref="B12:C12"/>
    <mergeCell ref="D6:E6"/>
    <mergeCell ref="F12:G12"/>
    <mergeCell ref="H6:I6"/>
    <mergeCell ref="D13:E13"/>
    <mergeCell ref="F5:G5"/>
    <mergeCell ref="B14:C14"/>
    <mergeCell ref="B8:C8"/>
    <mergeCell ref="F8:G8"/>
    <mergeCell ref="B13:C13"/>
    <mergeCell ref="B10:C10"/>
    <mergeCell ref="D4:E4"/>
    <mergeCell ref="F13:G13"/>
    <mergeCell ref="B9:C9"/>
    <mergeCell ref="D9:E9"/>
    <mergeCell ref="H13:I13"/>
    <mergeCell ref="H14:I14"/>
    <mergeCell ref="F9:G9"/>
    <mergeCell ref="D12:E12"/>
    <mergeCell ref="D8:E8"/>
    <mergeCell ref="B6:C6"/>
    <mergeCell ref="H12:I12"/>
    <mergeCell ref="B5:C5"/>
    <mergeCell ref="D5:E5"/>
    <mergeCell ref="D14:E14"/>
    <mergeCell ref="H5:I5"/>
    <mergeCell ref="F14:G14"/>
    <mergeCell ref="H8:I8"/>
    <mergeCell ref="B4:C4"/>
  </mergeCells>
  <conditionalFormatting sqref="B9">
    <cfRule type="expression" priority="1" dxfId="0" stopIfTrue="0">
      <formula>B9&gt;0</formula>
    </cfRule>
  </conditionalFormatting>
  <conditionalFormatting sqref="D9">
    <cfRule type="expression" priority="2" dxfId="0" stopIfTrue="0">
      <formula>D9&gt;0</formula>
    </cfRule>
  </conditionalFormatting>
  <conditionalFormatting sqref="F9">
    <cfRule type="expression" priority="3" dxfId="0" stopIfTrue="0">
      <formula>F9&gt;0</formula>
    </cfRule>
  </conditionalFormatting>
  <conditionalFormatting sqref="H9">
    <cfRule type="expression" priority="4" dxfId="0" stopIfTrue="0">
      <formula>H9&gt;0</formula>
    </cfRule>
  </conditionalFormatting>
  <conditionalFormatting sqref="B48:I67">
    <cfRule type="expression" priority="5" dxfId="1" stopIfTrue="0">
      <formula>$C48=0</formula>
    </cfRule>
  </conditionalFormatting>
  <conditionalFormatting sqref="H48:H67">
    <cfRule type="expression" priority="6" dxfId="2" stopIfTrue="0">
      <formula>AND($C48&gt;0,H48&gt;0)</formula>
    </cfRule>
    <cfRule type="expression" priority="7" dxfId="3" stopIfTrue="0">
      <formula>AND($C48&gt;0,H48&lt;0)</formula>
    </cfRule>
  </conditionalFormatting>
  <conditionalFormatting sqref="I48:I67">
    <cfRule type="expression" priority="8" dxfId="0" stopIfTrue="0">
      <formula>I48&gt;0</formula>
    </cfRule>
  </conditionalFormatting>
  <pageMargins left="0.75" right="0.75" top="1" bottom="1" header="0.5" footer="0.5"/>
  <pageSetup orientation="portrait" fitToHeight="0" fitToWidth="1"/>
  <drawing xmlns:r="http://schemas.openxmlformats.org/officeDocument/2006/relationships" r:id="rId1"/>
</worksheet>
</file>

<file path=xl/worksheets/sheet3.xml><?xml version="1.0" encoding="utf-8"?>
<worksheet xmlns="http://schemas.openxmlformats.org/spreadsheetml/2006/main">
  <sheetPr>
    <tabColor rgb="001B2A41"/>
    <outlinePr summaryBelow="1" summaryRight="1"/>
    <pageSetUpPr fitToPage="1"/>
  </sheetPr>
  <dimension ref="B1:D34"/>
  <sheetViews>
    <sheetView showGridLines="0" workbookViewId="0">
      <selection activeCell="A1" sqref="A1"/>
    </sheetView>
  </sheetViews>
  <sheetFormatPr baseColWidth="8" defaultRowHeight="15"/>
  <cols>
    <col width="3" customWidth="1" min="1" max="1"/>
    <col width="34" customWidth="1" min="2" max="2"/>
    <col width="34" customWidth="1" min="3" max="3"/>
    <col width="58" customWidth="1" min="4" max="4"/>
  </cols>
  <sheetData>
    <row r="1" ht="30" customHeight="1">
      <c r="B1" s="37" t="inlineStr">
        <is>
          <t>Project</t>
        </is>
      </c>
    </row>
    <row r="2">
      <c r="B2" s="38" t="inlineStr">
        <is>
          <t>Fill in the white cells once. Every other tab reads from here.</t>
        </is>
      </c>
    </row>
    <row r="5" ht="22" customHeight="1">
      <c r="B5" s="4" t="inlineStr">
        <is>
          <t>THE JOB</t>
        </is>
      </c>
      <c r="C5" s="5" t="n"/>
      <c r="D5" s="5" t="n"/>
    </row>
    <row r="6" ht="20" customHeight="1">
      <c r="B6" s="39" t="inlineStr">
        <is>
          <t>Project name</t>
        </is>
      </c>
      <c r="C6" s="40" t="inlineStr">
        <is>
          <t>Lakeshore Residence (sample)</t>
        </is>
      </c>
      <c r="D6" s="41" t="inlineStr">
        <is>
          <t>Shows on every printout.</t>
        </is>
      </c>
    </row>
    <row r="7" ht="20" customHeight="1">
      <c r="B7" s="39" t="inlineStr">
        <is>
          <t>Address</t>
        </is>
      </c>
      <c r="C7" s="40" t="inlineStr">
        <is>
          <t>1418 Lakeshore Dr, Anytown, NC</t>
        </is>
      </c>
    </row>
    <row r="8" ht="20" customHeight="1">
      <c r="B8" s="39" t="inlineStr">
        <is>
          <t>Client</t>
        </is>
      </c>
      <c r="C8" s="40" t="inlineStr">
        <is>
          <t>Jordan &amp; Casey Miller (sample)</t>
        </is>
      </c>
    </row>
    <row r="9" ht="20" customHeight="1">
      <c r="B9" s="39" t="inlineStr">
        <is>
          <t>Client email</t>
        </is>
      </c>
      <c r="C9" s="40" t="inlineStr">
        <is>
          <t>millers@example.com</t>
        </is>
      </c>
    </row>
    <row r="10" ht="20" customHeight="1">
      <c r="B10" s="39" t="inlineStr">
        <is>
          <t>Client phone</t>
        </is>
      </c>
      <c r="C10" s="40" t="inlineStr">
        <is>
          <t>(555) 010-0142</t>
        </is>
      </c>
    </row>
    <row r="11" ht="20" customHeight="1">
      <c r="B11" s="39" t="inlineStr">
        <is>
          <t>Who can sign changes</t>
        </is>
      </c>
      <c r="C11" s="40" t="inlineStr">
        <is>
          <t>Jordan or Casey Miller</t>
        </is>
      </c>
      <c r="D11" s="41" t="inlineStr">
        <is>
          <t>Put this in writing before the first selection. One name avoids 'my spouse never agreed.'</t>
        </is>
      </c>
    </row>
    <row r="12" ht="20" customHeight="1">
      <c r="B12" s="39" t="inlineStr">
        <is>
          <t>Builder</t>
        </is>
      </c>
      <c r="C12" s="40" t="inlineStr">
        <is>
          <t>Your Company Name</t>
        </is>
      </c>
      <c r="D12" s="41" t="inlineStr">
        <is>
          <t>Prints at the top of the Client Sign-Off page.</t>
        </is>
      </c>
    </row>
    <row r="13" ht="20" customHeight="1">
      <c r="B13" s="39" t="inlineStr">
        <is>
          <t>Project manager</t>
        </is>
      </c>
      <c r="C13" s="40" t="inlineStr">
        <is>
          <t>Alex Rivera</t>
        </is>
      </c>
    </row>
    <row r="14" ht="20" customHeight="1">
      <c r="B14" s="39" t="inlineStr">
        <is>
          <t>Contract date</t>
        </is>
      </c>
      <c r="C14" s="42">
        <f>TODAY()-45</f>
        <v>46241.0</v>
      </c>
      <c r="D14" s="41" t="inlineStr">
        <is>
          <t>Sample date. Type your real date over it.</t>
        </is>
      </c>
    </row>
    <row r="15" ht="20" customHeight="1">
      <c r="B15" s="39" t="inlineStr">
        <is>
          <t>Target completion</t>
        </is>
      </c>
      <c r="C15" s="42">
        <f>TODAY()+200</f>
        <v>46486.0</v>
      </c>
      <c r="D15" s="41" t="inlineStr">
        <is>
          <t>Sample date. Type your real date over it.</t>
        </is>
      </c>
    </row>
    <row r="17" ht="22" customHeight="1">
      <c r="B17" s="4" t="inlineStr">
        <is>
          <t>MONEY</t>
        </is>
      </c>
      <c r="C17" s="5" t="n"/>
      <c r="D17" s="5" t="n"/>
    </row>
    <row r="18" ht="20" customHeight="1">
      <c r="B18" s="39" t="inlineStr">
        <is>
          <t>Original contract</t>
        </is>
      </c>
      <c r="C18" s="43" t="n">
        <v>685000</v>
      </c>
      <c r="D18" s="41" t="inlineStr">
        <is>
          <t>Signed contract amount, before any changes.</t>
        </is>
      </c>
    </row>
    <row r="19" ht="20" customHeight="1">
      <c r="B19" s="39" t="inlineStr">
        <is>
          <t>Markup on allowance overages</t>
        </is>
      </c>
      <c r="C19" s="44" t="n">
        <v>0.1</v>
      </c>
      <c r="D19" s="41" t="inlineStr">
        <is>
          <t>What your contract says you add when a selection runs over its allowance.</t>
        </is>
      </c>
    </row>
    <row r="20" ht="20" customHeight="1">
      <c r="B20" s="39" t="inlineStr">
        <is>
          <t>Default change order markup</t>
        </is>
      </c>
      <c r="C20" s="44" t="n">
        <v>0.15</v>
      </c>
      <c r="D20" s="41" t="inlineStr">
        <is>
          <t>Pre-fills each new change order. Override per line.</t>
        </is>
      </c>
    </row>
    <row r="22" ht="22" customHeight="1">
      <c r="B22" s="4" t="inlineStr">
        <is>
          <t>DECISION DEADLINES</t>
        </is>
      </c>
      <c r="C22" s="5" t="n"/>
      <c r="D22" s="5" t="n"/>
    </row>
    <row r="23" ht="22" customHeight="1">
      <c r="B23" s="31" t="inlineStr">
        <is>
          <t>Phase</t>
        </is>
      </c>
      <c r="C23" s="31" t="inlineStr">
        <is>
          <t>Decide by</t>
        </is>
      </c>
      <c r="D23" s="31" t="inlineStr">
        <is>
          <t>What gets locked at this point</t>
        </is>
      </c>
    </row>
    <row r="24" ht="32" customHeight="1">
      <c r="B24" s="32" t="str">
        <f>Lists!A4</f>
        <v>Before you dig</v>
      </c>
      <c r="C24" s="42">
        <f>TODAY()-14</f>
        <v>46272.0</v>
      </c>
      <c r="D24" s="45" t="inlineStr">
        <is>
          <t>Windows, exterior doors, roofing, siding, anything that changes framing or the foundation.</t>
        </is>
      </c>
    </row>
    <row r="25" ht="32" customHeight="1">
      <c r="B25" s="32" t="str">
        <f>Lists!A5</f>
        <v>Before rough-in</v>
      </c>
      <c r="C25" s="42">
        <f>TODAY()+21</f>
        <v>46307.0</v>
      </c>
      <c r="D25" s="45" t="inlineStr">
        <is>
          <t>Plumbing valves and drains, fixture locations, fireplace, lighting layout, blocking, low voltage.</t>
        </is>
      </c>
    </row>
    <row r="26" ht="32" customHeight="1">
      <c r="B26" s="32" t="str">
        <f>Lists!A6</f>
        <v>Before drywall</v>
      </c>
      <c r="C26" s="42">
        <f>TODAY()+60</f>
        <v>46346.0</v>
      </c>
      <c r="D26" s="45" t="inlineStr">
        <is>
          <t>Tile, cabinets, niches, interior doors, anything that needs backing or exact dimensions.</t>
        </is>
      </c>
    </row>
    <row r="27" ht="32" customHeight="1">
      <c r="B27" s="32" t="str">
        <f>Lists!A7</f>
        <v>Before install</v>
      </c>
      <c r="C27" s="42">
        <f>TODAY()+110</f>
        <v>46396.0</v>
      </c>
      <c r="D27" s="45" t="inlineStr">
        <is>
          <t>Faucets, hardware, lighting fixtures, paint, flooring, mirrors, accessories, shower glass.</t>
        </is>
      </c>
    </row>
    <row r="28">
      <c r="B28" s="16" t="inlineStr">
        <is>
          <t>Sample dates are relative to today so the sample always looks live. Type real dates over them.</t>
        </is>
      </c>
    </row>
    <row r="29" ht="22" customHeight="1">
      <c r="B29" s="4" t="inlineStr">
        <is>
          <t>CONTRACT SUMMARY</t>
        </is>
      </c>
      <c r="C29" s="5" t="n"/>
      <c r="D29" s="5" t="n"/>
    </row>
    <row r="30" ht="20" customHeight="1">
      <c r="B30" s="39" t="inlineStr">
        <is>
          <t>Original contract</t>
        </is>
      </c>
      <c r="C30" s="35">
        <f>C18</f>
        <v>685000</v>
      </c>
      <c r="D30" s="41" t="inlineStr">
        <is>
          <t>From above.</t>
        </is>
      </c>
    </row>
    <row r="31" ht="20" customHeight="1">
      <c r="B31" s="39" t="inlineStr">
        <is>
          <t>Signed change orders</t>
        </is>
      </c>
      <c r="C31" s="35">
        <f>'Change Orders'!$B$4</f>
        <v>1322.5</v>
      </c>
      <c r="D31" s="41" t="inlineStr">
        <is>
          <t>Signed only. Over-allowance COs are excluded here so they are not counted twice.</t>
        </is>
      </c>
    </row>
    <row r="32" ht="20" customHeight="1">
      <c r="B32" s="39" t="inlineStr">
        <is>
          <t>Allowance over/under (billable)</t>
        </is>
      </c>
      <c r="C32" s="36">
        <f>Allowances!$G$15</f>
        <v>4679.2</v>
      </c>
      <c r="D32" s="41" t="inlineStr">
        <is>
          <t>Net of every allowance line, markup applied to overages. Includes lines not yet signed.</t>
        </is>
      </c>
    </row>
    <row r="33" ht="20" customHeight="1">
      <c r="B33" s="39" t="inlineStr">
        <is>
          <t>Revised contract (projected)</t>
        </is>
      </c>
      <c r="C33" s="46">
        <f>C30+C31+C32</f>
        <v>691001.7</v>
      </c>
      <c r="D33" s="41" t="inlineStr">
        <is>
          <t>What the client should expect to pay if nothing else changes.</t>
        </is>
      </c>
    </row>
    <row r="34" ht="20" customHeight="1">
      <c r="B34" s="39" t="inlineStr">
        <is>
          <t>Overage not yet signed</t>
        </is>
      </c>
      <c r="C34" s="47">
        <f>Allowances!$J$15</f>
        <v>1193</v>
      </c>
      <c r="D34" s="41" t="inlineStr">
        <is>
          <t>Money you are carrying on a handshake. Get it signed.</t>
        </is>
      </c>
    </row>
  </sheetData>
  <dataValidations count="1">
    <dataValidation sqref="B24:B27" showDropDown="0" showInputMessage="0" showErrorMessage="1" allowBlank="1" errorTitle="Not on the list" error="That value is not on the Lists tab. Add it there, or pick from the dropdown." type="list" errorStyle="warning">
      <formula1>=Lists!$A$4:$A$7</formula1>
    </dataValidation>
  </dataValidations>
  <pageMargins left="0.75" right="0.75" top="1" bottom="1" header="0.5" footer="0.5"/>
  <pageSetup orientation="portrait" fitToHeight="1" fitToWidth="1"/>
</worksheet>
</file>

<file path=xl/worksheets/sheet4.xml><?xml version="1.0" encoding="utf-8"?>
<worksheet xmlns="http://schemas.openxmlformats.org/spreadsheetml/2006/main">
  <sheetPr>
    <tabColor rgb="00D9622B"/>
    <outlinePr summaryBelow="1" summaryRight="1"/>
    <pageSetUpPr fitToPage="1"/>
  </sheetPr>
  <dimension ref="A1:AE305"/>
  <sheetViews>
    <sheetView showGridLines="0" workbookViewId="0">
      <pane xSplit="3" ySplit="5" topLeftCell="D6" activePane="bottomRight" state="frozen"/>
      <selection pane="topRight"/>
      <selection pane="bottomLeft"/>
      <selection pane="bottomRight" activeCell="A1" sqref="A1"/>
    </sheetView>
  </sheetViews>
  <sheetFormatPr baseColWidth="8" defaultRowHeight="15"/>
  <cols>
    <col width="5" customWidth="1" min="1" max="1"/>
    <col width="15" customWidth="1" min="2" max="2"/>
    <col width="26" customWidth="1" min="3" max="3"/>
    <col width="16" customWidth="1" min="4" max="4"/>
    <col width="22" customWidth="1" min="5" max="5"/>
    <col width="15" customWidth="1" min="6" max="6"/>
    <col width="12" customWidth="1" min="7" max="7"/>
    <col width="16" customWidth="1" min="8" max="8"/>
    <col width="24" customWidth="1" min="9" max="9"/>
    <col width="24" customWidth="1" min="10" max="10"/>
    <col width="11" customWidth="1" min="11" max="11"/>
    <col width="7" customWidth="1" min="12" max="12"/>
    <col width="6" customWidth="1" min="13" max="13"/>
    <col width="11" customWidth="1" min="14" max="14"/>
    <col width="12" customWidth="1" min="15" max="15"/>
    <col width="12" customWidth="1" min="16" max="16"/>
    <col width="12" customWidth="1" min="17" max="17"/>
    <col width="18" customWidth="1" min="18" max="18"/>
    <col width="16" customWidth="1" min="19" max="19"/>
    <col width="9" customWidth="1" min="20" max="20"/>
    <col width="12" customWidth="1" min="21" max="21"/>
    <col width="12" customWidth="1" min="22" max="22"/>
    <col width="13" customWidth="1" min="23" max="23"/>
    <col width="12" customWidth="1" min="24" max="24"/>
    <col width="14" customWidth="1" min="25" max="25"/>
    <col width="30" customWidth="1" min="26" max="26"/>
    <col width="18" customWidth="1" min="27" max="27"/>
    <col width="12" customWidth="1" min="28" max="28"/>
    <col width="30" customWidth="1" min="29" max="29"/>
    <col width="30" customWidth="1" min="30" max="30"/>
    <col hidden="1" width="6" customWidth="1" min="31" max="31"/>
  </cols>
  <sheetData>
    <row r="1" ht="30" customHeight="1">
      <c r="A1" s="17" t="inlineStr">
        <is>
          <t>Finish Schedule</t>
        </is>
      </c>
    </row>
    <row r="2">
      <c r="A2" s="18" t="str">
        <f>"Project: "&amp;Project!$C$6&amp;"   |   Client: "&amp;Project!$C$8&amp;"   |   Printed "&amp;TEXT(TODAY(),"mmm d, yyyy")</f>
        <v>Project: Lakeshore Residence (sample)   |   Client: Jordan &amp; Casey Miller (sample)   |   Printed Sep 21, 2026</v>
      </c>
    </row>
    <row r="3" ht="24" customHeight="1">
      <c r="A3" s="48" t="inlineStr">
        <is>
          <t>SAMPLE JOB: rows 6 to 45 are a filled-in example with made-up model numbers and dates relative to today. Read them, then delete those rows and start yours. White cells are yours to type in. Gray cells calculate.</t>
        </is>
      </c>
    </row>
    <row r="4" ht="18" customHeight="1">
      <c r="A4" s="49" t="inlineStr">
        <is>
          <t>WHAT &amp; WHERE</t>
        </is>
      </c>
      <c r="B4" s="50" t="n"/>
      <c r="C4" s="50" t="n"/>
      <c r="D4" s="50" t="n"/>
      <c r="E4" s="50" t="n"/>
      <c r="F4" s="51" t="inlineStr">
        <is>
          <t>DECIDE BY</t>
        </is>
      </c>
      <c r="G4" s="52" t="n"/>
      <c r="H4" s="49" t="inlineStr">
        <is>
          <t>THE SPEC</t>
        </is>
      </c>
      <c r="I4" s="50" t="n"/>
      <c r="J4" s="50" t="n"/>
      <c r="K4" s="50" t="n"/>
      <c r="L4" s="51" t="inlineStr">
        <is>
          <t>COST &amp; ALLOWANCE</t>
        </is>
      </c>
      <c r="M4" s="52" t="n"/>
      <c r="N4" s="52" t="n"/>
      <c r="O4" s="52" t="n"/>
      <c r="P4" s="52" t="n"/>
      <c r="Q4" s="52" t="n"/>
      <c r="R4" s="49" t="inlineStr">
        <is>
          <t>ORDERING</t>
        </is>
      </c>
      <c r="S4" s="50" t="n"/>
      <c r="T4" s="50" t="n"/>
      <c r="U4" s="50" t="n"/>
      <c r="V4" s="50" t="n"/>
      <c r="W4" s="51" t="inlineStr">
        <is>
          <t>APPROVAL</t>
        </is>
      </c>
      <c r="X4" s="52" t="n"/>
      <c r="Y4" s="52" t="n"/>
      <c r="Z4" s="49" t="inlineStr">
        <is>
          <t>CHECKS</t>
        </is>
      </c>
      <c r="AA4" s="50" t="n"/>
      <c r="AB4" s="50" t="n"/>
      <c r="AC4" s="51" t="inlineStr">
        <is>
          <t>NOTES</t>
        </is>
      </c>
      <c r="AD4" s="52" t="n"/>
    </row>
    <row r="5" ht="42" customHeight="1">
      <c r="A5" s="31" t="inlineStr">
        <is>
          <t>#</t>
        </is>
      </c>
      <c r="B5" s="31" t="inlineStr">
        <is>
          <t>Room</t>
        </is>
      </c>
      <c r="C5" s="31" t="inlineStr">
        <is>
          <t>Item (client's words)</t>
        </is>
      </c>
      <c r="D5" s="31" t="inlineStr">
        <is>
          <t>Location</t>
        </is>
      </c>
      <c r="E5" s="31" t="inlineStr">
        <is>
          <t>Category</t>
        </is>
      </c>
      <c r="F5" s="31" t="inlineStr">
        <is>
          <t>Decide By</t>
        </is>
      </c>
      <c r="G5" s="31" t="inlineStr">
        <is>
          <t>Decision Due</t>
        </is>
      </c>
      <c r="H5" s="31" t="inlineStr">
        <is>
          <t>Manufacturer</t>
        </is>
      </c>
      <c r="I5" s="31" t="inlineStr">
        <is>
          <t>Model / SKU</t>
        </is>
      </c>
      <c r="J5" s="31" t="inlineStr">
        <is>
          <t>Finish</t>
        </is>
      </c>
      <c r="K5" s="31" t="inlineStr">
        <is>
          <t>Size</t>
        </is>
      </c>
      <c r="L5" s="31" t="inlineStr">
        <is>
          <t>Qty</t>
        </is>
      </c>
      <c r="M5" s="31" t="inlineStr">
        <is>
          <t>Unit</t>
        </is>
      </c>
      <c r="N5" s="31" t="inlineStr">
        <is>
          <t>Unit Cost</t>
        </is>
      </c>
      <c r="O5" s="31" t="inlineStr">
        <is>
          <t>Actual</t>
        </is>
      </c>
      <c r="P5" s="31" t="inlineStr">
        <is>
          <t>Allowance</t>
        </is>
      </c>
      <c r="Q5" s="31" t="inlineStr">
        <is>
          <t>Over / Under</t>
        </is>
      </c>
      <c r="R5" s="31" t="inlineStr">
        <is>
          <t>Supplier</t>
        </is>
      </c>
      <c r="S5" s="31" t="inlineStr">
        <is>
          <t>Link</t>
        </is>
      </c>
      <c r="T5" s="31" t="inlineStr">
        <is>
          <t>Lead Time (days)</t>
        </is>
      </c>
      <c r="U5" s="31" t="inlineStr">
        <is>
          <t>Needed On Site</t>
        </is>
      </c>
      <c r="V5" s="31" t="inlineStr">
        <is>
          <t>Order By</t>
        </is>
      </c>
      <c r="W5" s="31" t="inlineStr">
        <is>
          <t>Status</t>
        </is>
      </c>
      <c r="X5" s="31" t="inlineStr">
        <is>
          <t>Approved On</t>
        </is>
      </c>
      <c r="Y5" s="31" t="inlineStr">
        <is>
          <t>Approved By</t>
        </is>
      </c>
      <c r="Z5" s="31" t="inlineStr">
        <is>
          <t>Ready to Order?</t>
        </is>
      </c>
      <c r="AA5" s="31" t="inlineStr">
        <is>
          <t>Flag</t>
        </is>
      </c>
      <c r="AB5" s="31" t="inlineStr">
        <is>
          <t>Unsigned Overage</t>
        </is>
      </c>
      <c r="AC5" s="31" t="inlineStr">
        <is>
          <t>Alternates</t>
        </is>
      </c>
      <c r="AD5" s="31" t="inlineStr">
        <is>
          <t>Notes</t>
        </is>
      </c>
      <c r="AE5" s="53" t="inlineStr">
        <is>
          <t>helper</t>
        </is>
      </c>
    </row>
    <row r="6" ht="30" customHeight="1">
      <c r="A6" s="54">
        <f>IF(C6="","",ROW()-5)</f>
        <v>1</v>
      </c>
      <c r="B6" s="40" t="inlineStr">
        <is>
          <t>Exterior</t>
        </is>
      </c>
      <c r="C6" s="40" t="inlineStr">
        <is>
          <t>Windows, whole house</t>
        </is>
      </c>
      <c r="D6" s="40" t="inlineStr">
        <is>
          <t>All elevations</t>
        </is>
      </c>
      <c r="E6" s="40" t="inlineStr">
        <is>
          <t>Windows &amp; Exterior Doors</t>
        </is>
      </c>
      <c r="F6" s="40" t="inlineStr">
        <is>
          <t>Before you dig</t>
        </is>
      </c>
      <c r="G6" s="55">
        <f>IF(F6="","",IFERROR(IF(INDEX(Project!$C$24:$C$27,MATCH(F6,Project!$B$24:$B$27,0))="","",INDEX(Project!$C$24:$C$27,MATCH(F6,Project!$B$24:$B$27,0))),""))</f>
        <v>46272.0</v>
      </c>
      <c r="H6" s="40" t="inlineStr">
        <is>
          <t>Andersen</t>
        </is>
      </c>
      <c r="I6" s="40" t="inlineStr">
        <is>
          <t>400 Series (see window schedule)</t>
        </is>
      </c>
      <c r="J6" s="40" t="inlineStr">
        <is>
          <t>White int / White ext</t>
        </is>
      </c>
      <c r="K6" s="40" t="inlineStr">
        <is>
          <t>Per schedule</t>
        </is>
      </c>
      <c r="L6" s="56" t="n">
        <v>1</v>
      </c>
      <c r="M6" s="40" t="inlineStr">
        <is>
          <t>lot</t>
        </is>
      </c>
      <c r="N6" s="57" t="n">
        <v>38400</v>
      </c>
      <c r="O6" s="35">
        <f>IF(OR(L6="",N6=""),"",L6*N6)</f>
        <v>38400</v>
      </c>
      <c r="P6" s="43" t="n"/>
      <c r="Q6" s="36" t="str">
        <f>IF(OR(O6="",P6=""),"",O6-P6)</f>
        <v/>
      </c>
      <c r="R6" s="40" t="inlineStr">
        <is>
          <t>Builders Supply Co</t>
        </is>
      </c>
      <c r="S6" s="40" t="inlineStr">
        <is>
          <t>andersenwindows.com</t>
        </is>
      </c>
      <c r="T6" s="58" t="n">
        <v>56</v>
      </c>
      <c r="U6" s="42">
        <f>TODAY()+10</f>
        <v>46296.0</v>
      </c>
      <c r="V6" s="55">
        <f>IF(OR(U6="",T6=""),"",U6-T6)</f>
        <v>46240.0</v>
      </c>
      <c r="W6" s="40" t="inlineStr">
        <is>
          <t>Ordered</t>
        </is>
      </c>
      <c r="X6" s="42">
        <f>TODAY()-30</f>
        <v>46256.0</v>
      </c>
      <c r="Y6" s="40" t="inlineStr">
        <is>
          <t>J. Miller</t>
        </is>
      </c>
      <c r="Z6" s="32" t="str">
        <f>IF(C6="","",IF(OR(W6="Ordered",W6="Received",W6="Installed"),"Ordered",IF(AND(I6&lt;&gt;"",J6&lt;&gt;"",L6&lt;&gt;"",R6&lt;&gt;"",T6&lt;&gt;"",X6&lt;&gt;""),"READY","Missing: "&amp;_xlfn.TEXTJOIN(", ",TRUE,IF(I6="","model",""),IF(J6="","finish",""),IF(L6="","qty",""),IF(R6="","supplier",""),IF(T6="","lead time",""),IF(X6="","approval","")))))</f>
        <v>Ordered</v>
      </c>
      <c r="AA6" s="54" t="str">
        <f>IF(C6="","",IF(OR(W6="Ordered",W6="Received",W6="Installed"),"",IF(AND(G6&lt;&gt;"",X6="",G6&lt;TODAY()),"DECISION OVERDUE",IF(V6="","",IF(V6&lt;TODAY(),"ORDER OVERDUE",IF(V6-TODAY()&lt;=14,"ORDER SOON",""))))))</f>
        <v/>
      </c>
      <c r="AB6" s="35" t="str">
        <f>IF(Q6="","",IF(AND(X6="",Q6&gt;0),Q6,""))</f>
        <v/>
      </c>
      <c r="AC6" s="59" t="n"/>
      <c r="AD6" s="59" t="inlineStr">
        <is>
          <t>Rough openings confirmed with framer.</t>
        </is>
      </c>
      <c r="AE6" s="60" t="str">
        <f>IF(AND(C6&lt;&gt;"",B6='Client Sign-Off'!$D$7),COUNTIFS($B$6:B6,'Client Sign-Off'!$D$7,$C$6:C6,"?*"),"")</f>
        <v/>
      </c>
    </row>
    <row r="7" ht="30" customHeight="1">
      <c r="A7" s="54">
        <f>IF(C7="","",ROW()-5)</f>
        <v>2</v>
      </c>
      <c r="B7" s="40" t="inlineStr">
        <is>
          <t>Entry / Foyer</t>
        </is>
      </c>
      <c r="C7" s="40" t="inlineStr">
        <is>
          <t>Front door</t>
        </is>
      </c>
      <c r="D7" s="40" t="inlineStr">
        <is>
          <t>Front elevation</t>
        </is>
      </c>
      <c r="E7" s="40" t="inlineStr">
        <is>
          <t>Windows &amp; Exterior Doors</t>
        </is>
      </c>
      <c r="F7" s="40" t="inlineStr">
        <is>
          <t>Before you dig</t>
        </is>
      </c>
      <c r="G7" s="55">
        <f>IF(F7="","",IFERROR(IF(INDEX(Project!$C$24:$C$27,MATCH(F7,Project!$B$24:$B$27,0))="","",INDEX(Project!$C$24:$C$27,MATCH(F7,Project!$B$24:$B$27,0))),""))</f>
        <v>46272.0</v>
      </c>
      <c r="H7" s="40" t="inlineStr">
        <is>
          <t>Therma-Tru</t>
        </is>
      </c>
      <c r="I7" s="40" t="inlineStr">
        <is>
          <t>CCV-205 (sample)</t>
        </is>
      </c>
      <c r="J7" s="40" t="inlineStr">
        <is>
          <t>Stained Walnut</t>
        </is>
      </c>
      <c r="K7" s="40" t="inlineStr">
        <is>
          <t>3-0 x 8-0</t>
        </is>
      </c>
      <c r="L7" s="56" t="n">
        <v>1</v>
      </c>
      <c r="M7" s="40" t="inlineStr">
        <is>
          <t>ea</t>
        </is>
      </c>
      <c r="N7" s="57" t="n">
        <v>3850</v>
      </c>
      <c r="O7" s="35">
        <f>IF(OR(L7="",N7=""),"",L7*N7)</f>
        <v>3850</v>
      </c>
      <c r="P7" s="43" t="n">
        <v>3500</v>
      </c>
      <c r="Q7" s="36">
        <f>IF(OR(O7="",P7=""),"",O7-P7)</f>
        <v>350</v>
      </c>
      <c r="R7" s="40" t="inlineStr">
        <is>
          <t>Builders Supply Co</t>
        </is>
      </c>
      <c r="S7" s="40" t="n"/>
      <c r="T7" s="58" t="n">
        <v>42</v>
      </c>
      <c r="U7" s="42">
        <f>TODAY()+30</f>
        <v>46316.0</v>
      </c>
      <c r="V7" s="55">
        <f>IF(OR(U7="",T7=""),"",U7-T7)</f>
        <v>46274.0</v>
      </c>
      <c r="W7" s="40" t="inlineStr">
        <is>
          <t>Approved</t>
        </is>
      </c>
      <c r="X7" s="42">
        <f>TODAY()-20</f>
        <v>46266.0</v>
      </c>
      <c r="Y7" s="40" t="inlineStr">
        <is>
          <t>J. Miller</t>
        </is>
      </c>
      <c r="Z7" s="32" t="str">
        <f>IF(C7="","",IF(OR(W7="Ordered",W7="Received",W7="Installed"),"Ordered",IF(AND(I7&lt;&gt;"",J7&lt;&gt;"",L7&lt;&gt;"",R7&lt;&gt;"",T7&lt;&gt;"",X7&lt;&gt;""),"READY","Missing: "&amp;_xlfn.TEXTJOIN(", ",TRUE,IF(I7="","model",""),IF(J7="","finish",""),IF(L7="","qty",""),IF(R7="","supplier",""),IF(T7="","lead time",""),IF(X7="","approval","")))))</f>
        <v>READY</v>
      </c>
      <c r="AA7" s="54" t="str">
        <f>IF(C7="","",IF(OR(W7="Ordered",W7="Received",W7="Installed"),"",IF(AND(G7&lt;&gt;"",X7="",G7&lt;TODAY()),"DECISION OVERDUE",IF(V7="","",IF(V7&lt;TODAY(),"ORDER OVERDUE",IF(V7-TODAY()&lt;=14,"ORDER SOON",""))))))</f>
        <v>ORDER OVERDUE</v>
      </c>
      <c r="AB7" s="35" t="str">
        <f>IF(Q7="","",IF(AND(X7="",Q7&gt;0),Q7,""))</f>
        <v/>
      </c>
      <c r="AC7" s="59" t="n"/>
      <c r="AD7" s="59" t="inlineStr">
        <is>
          <t>Approved but not ordered yet. Lead time says it is already late.</t>
        </is>
      </c>
      <c r="AE7" s="60" t="str">
        <f>IF(AND(C7&lt;&gt;"",B7='Client Sign-Off'!$D$7),COUNTIFS($B$6:B7,'Client Sign-Off'!$D$7,$C$6:C7,"?*"),"")</f>
        <v/>
      </c>
    </row>
    <row r="8" ht="30" customHeight="1">
      <c r="A8" s="54">
        <f>IF(C8="","",ROW()-5)</f>
        <v>3</v>
      </c>
      <c r="B8" s="40" t="inlineStr">
        <is>
          <t>Exterior</t>
        </is>
      </c>
      <c r="C8" s="40" t="inlineStr">
        <is>
          <t>Roof shingles</t>
        </is>
      </c>
      <c r="D8" s="40" t="inlineStr">
        <is>
          <t>Main roof</t>
        </is>
      </c>
      <c r="E8" s="40" t="inlineStr">
        <is>
          <t>Roofing</t>
        </is>
      </c>
      <c r="F8" s="40" t="inlineStr">
        <is>
          <t>Before you dig</t>
        </is>
      </c>
      <c r="G8" s="55">
        <f>IF(F8="","",IFERROR(IF(INDEX(Project!$C$24:$C$27,MATCH(F8,Project!$B$24:$B$27,0))="","",INDEX(Project!$C$24:$C$27,MATCH(F8,Project!$B$24:$B$27,0))),""))</f>
        <v>46272.0</v>
      </c>
      <c r="H8" s="40" t="inlineStr">
        <is>
          <t>GAF</t>
        </is>
      </c>
      <c r="I8" s="40" t="inlineStr">
        <is>
          <t>Timberline HDZ</t>
        </is>
      </c>
      <c r="J8" s="40" t="inlineStr">
        <is>
          <t>Charcoal</t>
        </is>
      </c>
      <c r="K8" s="40" t="n"/>
      <c r="L8" s="56" t="n">
        <v>32</v>
      </c>
      <c r="M8" s="40" t="inlineStr">
        <is>
          <t>sq</t>
        </is>
      </c>
      <c r="N8" s="57" t="n">
        <v>142</v>
      </c>
      <c r="O8" s="35">
        <f>IF(OR(L8="",N8=""),"",L8*N8)</f>
        <v>4544</v>
      </c>
      <c r="P8" s="43" t="n"/>
      <c r="Q8" s="36" t="str">
        <f>IF(OR(O8="",P8=""),"",O8-P8)</f>
        <v/>
      </c>
      <c r="R8" s="40" t="inlineStr">
        <is>
          <t>ABC Roofing Supply</t>
        </is>
      </c>
      <c r="S8" s="40" t="n"/>
      <c r="T8" s="58" t="n">
        <v>7</v>
      </c>
      <c r="U8" s="42">
        <f>TODAY()+5</f>
        <v>46291.0</v>
      </c>
      <c r="V8" s="55">
        <f>IF(OR(U8="",T8=""),"",U8-T8)</f>
        <v>46284.0</v>
      </c>
      <c r="W8" s="40" t="inlineStr">
        <is>
          <t>Ordered</t>
        </is>
      </c>
      <c r="X8" s="42">
        <f>TODAY()-25</f>
        <v>46261.0</v>
      </c>
      <c r="Y8" s="40" t="inlineStr">
        <is>
          <t>C. Miller</t>
        </is>
      </c>
      <c r="Z8" s="32" t="str">
        <f>IF(C8="","",IF(OR(W8="Ordered",W8="Received",W8="Installed"),"Ordered",IF(AND(I8&lt;&gt;"",J8&lt;&gt;"",L8&lt;&gt;"",R8&lt;&gt;"",T8&lt;&gt;"",X8&lt;&gt;""),"READY","Missing: "&amp;_xlfn.TEXTJOIN(", ",TRUE,IF(I8="","model",""),IF(J8="","finish",""),IF(L8="","qty",""),IF(R8="","supplier",""),IF(T8="","lead time",""),IF(X8="","approval","")))))</f>
        <v>Ordered</v>
      </c>
      <c r="AA8" s="54" t="str">
        <f>IF(C8="","",IF(OR(W8="Ordered",W8="Received",W8="Installed"),"",IF(AND(G8&lt;&gt;"",X8="",G8&lt;TODAY()),"DECISION OVERDUE",IF(V8="","",IF(V8&lt;TODAY(),"ORDER OVERDUE",IF(V8-TODAY()&lt;=14,"ORDER SOON",""))))))</f>
        <v/>
      </c>
      <c r="AB8" s="35" t="str">
        <f>IF(Q8="","",IF(AND(X8="",Q8&gt;0),Q8,""))</f>
        <v/>
      </c>
      <c r="AC8" s="59" t="n"/>
      <c r="AD8" s="59" t="n"/>
      <c r="AE8" s="60" t="str">
        <f>IF(AND(C8&lt;&gt;"",B8='Client Sign-Off'!$D$7),COUNTIFS($B$6:B8,'Client Sign-Off'!$D$7,$C$6:C8,"?*"),"")</f>
        <v/>
      </c>
    </row>
    <row r="9" ht="30" customHeight="1">
      <c r="A9" s="54">
        <f>IF(C9="","",ROW()-5)</f>
        <v>4</v>
      </c>
      <c r="B9" s="40" t="inlineStr">
        <is>
          <t>Exterior</t>
        </is>
      </c>
      <c r="C9" s="40" t="inlineStr">
        <is>
          <t>Lap siding</t>
        </is>
      </c>
      <c r="D9" s="40" t="inlineStr">
        <is>
          <t>All elevations</t>
        </is>
      </c>
      <c r="E9" s="40" t="inlineStr">
        <is>
          <t>Siding &amp; Exterior</t>
        </is>
      </c>
      <c r="F9" s="40" t="inlineStr">
        <is>
          <t>Before you dig</t>
        </is>
      </c>
      <c r="G9" s="55">
        <f>IF(F9="","",IFERROR(IF(INDEX(Project!$C$24:$C$27,MATCH(F9,Project!$B$24:$B$27,0))="","",INDEX(Project!$C$24:$C$27,MATCH(F9,Project!$B$24:$B$27,0))),""))</f>
        <v>46272.0</v>
      </c>
      <c r="H9" s="40" t="inlineStr">
        <is>
          <t>James Hardie</t>
        </is>
      </c>
      <c r="I9" s="40" t="inlineStr">
        <is>
          <t>HardiePlank Lap 8.25 in</t>
        </is>
      </c>
      <c r="J9" s="40" t="n"/>
      <c r="K9" s="40" t="n"/>
      <c r="L9" s="56" t="n">
        <v>38</v>
      </c>
      <c r="M9" s="40" t="inlineStr">
        <is>
          <t>sq</t>
        </is>
      </c>
      <c r="N9" s="57" t="n">
        <v>410</v>
      </c>
      <c r="O9" s="35">
        <f>IF(OR(L9="",N9=""),"",L9*N9)</f>
        <v>15580</v>
      </c>
      <c r="P9" s="43" t="n"/>
      <c r="Q9" s="36" t="str">
        <f>IF(OR(O9="",P9=""),"",O9-P9)</f>
        <v/>
      </c>
      <c r="R9" s="40" t="inlineStr">
        <is>
          <t>Builders Supply Co</t>
        </is>
      </c>
      <c r="S9" s="40" t="n"/>
      <c r="T9" s="58" t="n">
        <v>28</v>
      </c>
      <c r="U9" s="42">
        <f>TODAY()+90</f>
        <v>46376.0</v>
      </c>
      <c r="V9" s="55">
        <f>IF(OR(U9="",T9=""),"",U9-T9)</f>
        <v>46348.0</v>
      </c>
      <c r="W9" s="40" t="inlineStr">
        <is>
          <t>Selected</t>
        </is>
      </c>
      <c r="X9" s="42" t="n"/>
      <c r="Y9" s="40" t="n"/>
      <c r="Z9" s="32" t="str">
        <f>IF(C9="","",IF(OR(W9="Ordered",W9="Received",W9="Installed"),"Ordered",IF(AND(I9&lt;&gt;"",J9&lt;&gt;"",L9&lt;&gt;"",R9&lt;&gt;"",T9&lt;&gt;"",X9&lt;&gt;""),"READY","Missing: "&amp;_xlfn.TEXTJOIN(", ",TRUE,IF(I9="","model",""),IF(J9="","finish",""),IF(L9="","qty",""),IF(R9="","supplier",""),IF(T9="","lead time",""),IF(X9="","approval","")))))</f>
        <v>Missing: finish, approval</v>
      </c>
      <c r="AA9" s="54" t="str">
        <f>IF(C9="","",IF(OR(W9="Ordered",W9="Received",W9="Installed"),"",IF(AND(G9&lt;&gt;"",X9="",G9&lt;TODAY()),"DECISION OVERDUE",IF(V9="","",IF(V9&lt;TODAY(),"ORDER OVERDUE",IF(V9-TODAY()&lt;=14,"ORDER SOON",""))))))</f>
        <v>DECISION OVERDUE</v>
      </c>
      <c r="AB9" s="35" t="str">
        <f>IF(Q9="","",IF(AND(X9="",Q9&gt;0),Q9,""))</f>
        <v/>
      </c>
      <c r="AC9" s="59" t="n"/>
      <c r="AD9" s="59" t="inlineStr">
        <is>
          <t>Color not picked. Blocks the siding order.</t>
        </is>
      </c>
      <c r="AE9" s="60" t="str">
        <f>IF(AND(C9&lt;&gt;"",B9='Client Sign-Off'!$D$7),COUNTIFS($B$6:B9,'Client Sign-Off'!$D$7,$C$6:C9,"?*"),"")</f>
        <v/>
      </c>
    </row>
    <row r="10" ht="30" customHeight="1">
      <c r="A10" s="54">
        <f>IF(C10="","",ROW()-5)</f>
        <v>5</v>
      </c>
      <c r="B10" s="40" t="inlineStr">
        <is>
          <t>Garage</t>
        </is>
      </c>
      <c r="C10" s="40" t="inlineStr">
        <is>
          <t>Garage door</t>
        </is>
      </c>
      <c r="D10" s="40" t="inlineStr">
        <is>
          <t>2-car bay</t>
        </is>
      </c>
      <c r="E10" s="40" t="inlineStr">
        <is>
          <t>Windows &amp; Exterior Doors</t>
        </is>
      </c>
      <c r="F10" s="40" t="inlineStr">
        <is>
          <t>Before drywall</t>
        </is>
      </c>
      <c r="G10" s="55">
        <f>IF(F10="","",IFERROR(IF(INDEX(Project!$C$24:$C$27,MATCH(F10,Project!$B$24:$B$27,0))="","",INDEX(Project!$C$24:$C$27,MATCH(F10,Project!$B$24:$B$27,0))),""))</f>
        <v>46346.0</v>
      </c>
      <c r="H10" s="40" t="inlineStr">
        <is>
          <t>Clopay</t>
        </is>
      </c>
      <c r="I10" s="40" t="inlineStr">
        <is>
          <t>Gallery GD-16 (sample)</t>
        </is>
      </c>
      <c r="J10" s="40" t="inlineStr">
        <is>
          <t>Black</t>
        </is>
      </c>
      <c r="K10" s="40" t="inlineStr">
        <is>
          <t>16 x 8</t>
        </is>
      </c>
      <c r="L10" s="56" t="n">
        <v>1</v>
      </c>
      <c r="M10" s="40" t="inlineStr">
        <is>
          <t>ea</t>
        </is>
      </c>
      <c r="N10" s="57" t="n">
        <v>2650</v>
      </c>
      <c r="O10" s="35">
        <f>IF(OR(L10="",N10=""),"",L10*N10)</f>
        <v>2650</v>
      </c>
      <c r="P10" s="43" t="n"/>
      <c r="Q10" s="36" t="str">
        <f>IF(OR(O10="",P10=""),"",O10-P10)</f>
        <v/>
      </c>
      <c r="R10" s="40" t="inlineStr">
        <is>
          <t>Overhead Door Pros</t>
        </is>
      </c>
      <c r="S10" s="40" t="n"/>
      <c r="T10" s="58" t="n">
        <v>35</v>
      </c>
      <c r="U10" s="42">
        <f>TODAY()+100</f>
        <v>46386.0</v>
      </c>
      <c r="V10" s="55">
        <f>IF(OR(U10="",T10=""),"",U10-T10)</f>
        <v>46351.0</v>
      </c>
      <c r="W10" s="40" t="inlineStr">
        <is>
          <t>Approved</t>
        </is>
      </c>
      <c r="X10" s="42">
        <f>TODAY()-10</f>
        <v>46276.0</v>
      </c>
      <c r="Y10" s="40" t="inlineStr">
        <is>
          <t>J. Miller</t>
        </is>
      </c>
      <c r="Z10" s="32" t="str">
        <f>IF(C10="","",IF(OR(W10="Ordered",W10="Received",W10="Installed"),"Ordered",IF(AND(I10&lt;&gt;"",J10&lt;&gt;"",L10&lt;&gt;"",R10&lt;&gt;"",T10&lt;&gt;"",X10&lt;&gt;""),"READY","Missing: "&amp;_xlfn.TEXTJOIN(", ",TRUE,IF(I10="","model",""),IF(J10="","finish",""),IF(L10="","qty",""),IF(R10="","supplier",""),IF(T10="","lead time",""),IF(X10="","approval","")))))</f>
        <v>READY</v>
      </c>
      <c r="AA10" s="54" t="str">
        <f>IF(C10="","",IF(OR(W10="Ordered",W10="Received",W10="Installed"),"",IF(AND(G10&lt;&gt;"",X10="",G10&lt;TODAY()),"DECISION OVERDUE",IF(V10="","",IF(V10&lt;TODAY(),"ORDER OVERDUE",IF(V10-TODAY()&lt;=14,"ORDER SOON",""))))))</f>
        <v/>
      </c>
      <c r="AB10" s="35" t="str">
        <f>IF(Q10="","",IF(AND(X10="",Q10&gt;0),Q10,""))</f>
        <v/>
      </c>
      <c r="AC10" s="59" t="n"/>
      <c r="AD10" s="59" t="n"/>
      <c r="AE10" s="60" t="str">
        <f>IF(AND(C10&lt;&gt;"",B10='Client Sign-Off'!$D$7),COUNTIFS($B$6:B10,'Client Sign-Off'!$D$7,$C$6:C10,"?*"),"")</f>
        <v/>
      </c>
    </row>
    <row r="11" ht="30" customHeight="1">
      <c r="A11" s="54">
        <f>IF(C11="","",ROW()-5)</f>
        <v>6</v>
      </c>
      <c r="B11" s="40" t="inlineStr">
        <is>
          <t>Kitchen</t>
        </is>
      </c>
      <c r="C11" s="40" t="inlineStr">
        <is>
          <t>Kitchen cabinets</t>
        </is>
      </c>
      <c r="D11" s="40" t="inlineStr">
        <is>
          <t>Perimeter + island</t>
        </is>
      </c>
      <c r="E11" s="40" t="inlineStr">
        <is>
          <t>Cabinetry</t>
        </is>
      </c>
      <c r="F11" s="40" t="inlineStr">
        <is>
          <t>Before rough-in</t>
        </is>
      </c>
      <c r="G11" s="55">
        <f>IF(F11="","",IFERROR(IF(INDEX(Project!$C$24:$C$27,MATCH(F11,Project!$B$24:$B$27,0))="","",INDEX(Project!$C$24:$C$27,MATCH(F11,Project!$B$24:$B$27,0))),""))</f>
        <v>46307.0</v>
      </c>
      <c r="H11" s="40" t="inlineStr">
        <is>
          <t>Local cabinet shop</t>
        </is>
      </c>
      <c r="I11" s="40" t="inlineStr">
        <is>
          <t>Shaker, full overlay</t>
        </is>
      </c>
      <c r="J11" s="40" t="inlineStr">
        <is>
          <t>SW 7005 perimeter / navy island</t>
        </is>
      </c>
      <c r="K11" s="40" t="n"/>
      <c r="L11" s="56" t="n">
        <v>1</v>
      </c>
      <c r="M11" s="40" t="inlineStr">
        <is>
          <t>lot</t>
        </is>
      </c>
      <c r="N11" s="57" t="n">
        <v>28500</v>
      </c>
      <c r="O11" s="35">
        <f>IF(OR(L11="",N11=""),"",L11*N11)</f>
        <v>28500</v>
      </c>
      <c r="P11" s="43" t="n">
        <v>28000</v>
      </c>
      <c r="Q11" s="36">
        <f>IF(OR(O11="",P11=""),"",O11-P11)</f>
        <v>500</v>
      </c>
      <c r="R11" s="40" t="inlineStr">
        <is>
          <t>Carolina Cabinetry</t>
        </is>
      </c>
      <c r="S11" s="40" t="n"/>
      <c r="T11" s="58" t="n">
        <v>70</v>
      </c>
      <c r="U11" s="42">
        <f>TODAY()+75</f>
        <v>46361.0</v>
      </c>
      <c r="V11" s="55">
        <f>IF(OR(U11="",T11=""),"",U11-T11)</f>
        <v>46291.0</v>
      </c>
      <c r="W11" s="40" t="inlineStr">
        <is>
          <t>Approved</t>
        </is>
      </c>
      <c r="X11" s="42">
        <f>TODAY()-7</f>
        <v>46279.0</v>
      </c>
      <c r="Y11" s="40" t="inlineStr">
        <is>
          <t>C. Miller</t>
        </is>
      </c>
      <c r="Z11" s="32" t="str">
        <f>IF(C11="","",IF(OR(W11="Ordered",W11="Received",W11="Installed"),"Ordered",IF(AND(I11&lt;&gt;"",J11&lt;&gt;"",L11&lt;&gt;"",R11&lt;&gt;"",T11&lt;&gt;"",X11&lt;&gt;""),"READY","Missing: "&amp;_xlfn.TEXTJOIN(", ",TRUE,IF(I11="","model",""),IF(J11="","finish",""),IF(L11="","qty",""),IF(R11="","supplier",""),IF(T11="","lead time",""),IF(X11="","approval","")))))</f>
        <v>READY</v>
      </c>
      <c r="AA11" s="54" t="str">
        <f>IF(C11="","",IF(OR(W11="Ordered",W11="Received",W11="Installed"),"",IF(AND(G11&lt;&gt;"",X11="",G11&lt;TODAY()),"DECISION OVERDUE",IF(V11="","",IF(V11&lt;TODAY(),"ORDER OVERDUE",IF(V11-TODAY()&lt;=14,"ORDER SOON",""))))))</f>
        <v>ORDER SOON</v>
      </c>
      <c r="AB11" s="35" t="str">
        <f>IF(Q11="","",IF(AND(X11="",Q11&gt;0),Q11,""))</f>
        <v/>
      </c>
      <c r="AC11" s="59" t="n"/>
      <c r="AD11" s="59" t="inlineStr">
        <is>
          <t>Shop drawings signed. Order within the week.</t>
        </is>
      </c>
      <c r="AE11" s="60" t="str">
        <f>IF(AND(C11&lt;&gt;"",B11='Client Sign-Off'!$D$7),COUNTIFS($B$6:B11,'Client Sign-Off'!$D$7,$C$6:C11,"?*"),"")</f>
        <v/>
      </c>
    </row>
    <row r="12" ht="30" customHeight="1">
      <c r="A12" s="54">
        <f>IF(C12="","",ROW()-5)</f>
        <v>7</v>
      </c>
      <c r="B12" s="40" t="inlineStr">
        <is>
          <t>Primary Bath</t>
        </is>
      </c>
      <c r="C12" s="40" t="inlineStr">
        <is>
          <t>Linear shower drain</t>
        </is>
      </c>
      <c r="D12" s="40" t="inlineStr">
        <is>
          <t>Shower, back wall</t>
        </is>
      </c>
      <c r="E12" s="40" t="inlineStr">
        <is>
          <t>Plumbing Fixtures</t>
        </is>
      </c>
      <c r="F12" s="40" t="inlineStr">
        <is>
          <t>Before rough-in</t>
        </is>
      </c>
      <c r="G12" s="55">
        <f>IF(F12="","",IFERROR(IF(INDEX(Project!$C$24:$C$27,MATCH(F12,Project!$B$24:$B$27,0))="","",INDEX(Project!$C$24:$C$27,MATCH(F12,Project!$B$24:$B$27,0))),""))</f>
        <v>46307.0</v>
      </c>
      <c r="H12" s="40" t="inlineStr">
        <is>
          <t>Schluter</t>
        </is>
      </c>
      <c r="I12" s="40" t="inlineStr">
        <is>
          <t>KERDI-LINE 36 in (sample)</t>
        </is>
      </c>
      <c r="J12" s="40" t="inlineStr">
        <is>
          <t>Brushed Stainless</t>
        </is>
      </c>
      <c r="K12" s="40" t="inlineStr">
        <is>
          <t>36 in</t>
        </is>
      </c>
      <c r="L12" s="56" t="n">
        <v>1</v>
      </c>
      <c r="M12" s="40" t="inlineStr">
        <is>
          <t>ea</t>
        </is>
      </c>
      <c r="N12" s="57" t="n">
        <v>289</v>
      </c>
      <c r="O12" s="35">
        <f>IF(OR(L12="",N12=""),"",L12*N12)</f>
        <v>289</v>
      </c>
      <c r="P12" s="43" t="n"/>
      <c r="Q12" s="36" t="str">
        <f>IF(OR(O12="",P12=""),"",O12-P12)</f>
        <v/>
      </c>
      <c r="R12" s="40" t="inlineStr">
        <is>
          <t>Tile Outlet</t>
        </is>
      </c>
      <c r="S12" s="40" t="n"/>
      <c r="T12" s="58" t="n">
        <v>10</v>
      </c>
      <c r="U12" s="42">
        <f>TODAY()+30</f>
        <v>46316.0</v>
      </c>
      <c r="V12" s="55">
        <f>IF(OR(U12="",T12=""),"",U12-T12)</f>
        <v>46306.0</v>
      </c>
      <c r="W12" s="40" t="inlineStr">
        <is>
          <t>Approved</t>
        </is>
      </c>
      <c r="X12" s="42">
        <f>TODAY()-5</f>
        <v>46281.0</v>
      </c>
      <c r="Y12" s="40" t="inlineStr">
        <is>
          <t>J. Miller</t>
        </is>
      </c>
      <c r="Z12" s="32" t="str">
        <f>IF(C12="","",IF(OR(W12="Ordered",W12="Received",W12="Installed"),"Ordered",IF(AND(I12&lt;&gt;"",J12&lt;&gt;"",L12&lt;&gt;"",R12&lt;&gt;"",T12&lt;&gt;"",X12&lt;&gt;""),"READY","Missing: "&amp;_xlfn.TEXTJOIN(", ",TRUE,IF(I12="","model",""),IF(J12="","finish",""),IF(L12="","qty",""),IF(R12="","supplier",""),IF(T12="","lead time",""),IF(X12="","approval","")))))</f>
        <v>READY</v>
      </c>
      <c r="AA12" s="54" t="str">
        <f>IF(C12="","",IF(OR(W12="Ordered",W12="Received",W12="Installed"),"",IF(AND(G12&lt;&gt;"",X12="",G12&lt;TODAY()),"DECISION OVERDUE",IF(V12="","",IF(V12&lt;TODAY(),"ORDER OVERDUE",IF(V12-TODAY()&lt;=14,"ORDER SOON",""))))))</f>
        <v/>
      </c>
      <c r="AB12" s="35" t="str">
        <f>IF(Q12="","",IF(AND(X12="",Q12&gt;0),Q12,""))</f>
        <v/>
      </c>
      <c r="AC12" s="59" t="n"/>
      <c r="AD12" s="59" t="n"/>
      <c r="AE12" s="60">
        <f>IF(AND(C12&lt;&gt;"",B12='Client Sign-Off'!$D$7),COUNTIFS($B$6:B12,'Client Sign-Off'!$D$7,$C$6:C12,"?*"),"")</f>
        <v>1</v>
      </c>
    </row>
    <row r="13" ht="30" customHeight="1">
      <c r="A13" s="54">
        <f>IF(C13="","",ROW()-5)</f>
        <v>8</v>
      </c>
      <c r="B13" s="40" t="inlineStr">
        <is>
          <t>Great Room</t>
        </is>
      </c>
      <c r="C13" s="40" t="inlineStr">
        <is>
          <t>Gas fireplace insert</t>
        </is>
      </c>
      <c r="D13" s="40" t="inlineStr">
        <is>
          <t>TV wall</t>
        </is>
      </c>
      <c r="E13" s="40" t="inlineStr">
        <is>
          <t>Fireplace</t>
        </is>
      </c>
      <c r="F13" s="40" t="inlineStr">
        <is>
          <t>Before rough-in</t>
        </is>
      </c>
      <c r="G13" s="55">
        <f>IF(F13="","",IFERROR(IF(INDEX(Project!$C$24:$C$27,MATCH(F13,Project!$B$24:$B$27,0))="","",INDEX(Project!$C$24:$C$27,MATCH(F13,Project!$B$24:$B$27,0))),""))</f>
        <v>46307.0</v>
      </c>
      <c r="H13" s="40" t="inlineStr">
        <is>
          <t>Heat &amp; Glo</t>
        </is>
      </c>
      <c r="I13" s="40" t="inlineStr">
        <is>
          <t>FP-42 (sample)</t>
        </is>
      </c>
      <c r="J13" s="40" t="inlineStr">
        <is>
          <t>Black</t>
        </is>
      </c>
      <c r="K13" s="40" t="inlineStr">
        <is>
          <t>42 in</t>
        </is>
      </c>
      <c r="L13" s="56" t="n">
        <v>1</v>
      </c>
      <c r="M13" s="40" t="inlineStr">
        <is>
          <t>ea</t>
        </is>
      </c>
      <c r="N13" s="57" t="n">
        <v>4200</v>
      </c>
      <c r="O13" s="35">
        <f>IF(OR(L13="",N13=""),"",L13*N13)</f>
        <v>4200</v>
      </c>
      <c r="P13" s="43" t="n">
        <v>4500</v>
      </c>
      <c r="Q13" s="36">
        <f>IF(OR(O13="",P13=""),"",O13-P13)</f>
        <v>-300</v>
      </c>
      <c r="R13" s="40" t="inlineStr">
        <is>
          <t>Hearth &amp; Home</t>
        </is>
      </c>
      <c r="S13" s="40" t="n"/>
      <c r="T13" s="58" t="n">
        <v>30</v>
      </c>
      <c r="U13" s="42">
        <f>TODAY()+50</f>
        <v>46336.0</v>
      </c>
      <c r="V13" s="55">
        <f>IF(OR(U13="",T13=""),"",U13-T13)</f>
        <v>46306.0</v>
      </c>
      <c r="W13" s="40" t="inlineStr">
        <is>
          <t>Approved</t>
        </is>
      </c>
      <c r="X13" s="42">
        <f>TODAY()-12</f>
        <v>46274.0</v>
      </c>
      <c r="Y13" s="40" t="inlineStr">
        <is>
          <t>J. Miller</t>
        </is>
      </c>
      <c r="Z13" s="32" t="str">
        <f>IF(C13="","",IF(OR(W13="Ordered",W13="Received",W13="Installed"),"Ordered",IF(AND(I13&lt;&gt;"",J13&lt;&gt;"",L13&lt;&gt;"",R13&lt;&gt;"",T13&lt;&gt;"",X13&lt;&gt;""),"READY","Missing: "&amp;_xlfn.TEXTJOIN(", ",TRUE,IF(I13="","model",""),IF(J13="","finish",""),IF(L13="","qty",""),IF(R13="","supplier",""),IF(T13="","lead time",""),IF(X13="","approval","")))))</f>
        <v>READY</v>
      </c>
      <c r="AA13" s="54" t="str">
        <f>IF(C13="","",IF(OR(W13="Ordered",W13="Received",W13="Installed"),"",IF(AND(G13&lt;&gt;"",X13="",G13&lt;TODAY()),"DECISION OVERDUE",IF(V13="","",IF(V13&lt;TODAY(),"ORDER OVERDUE",IF(V13-TODAY()&lt;=14,"ORDER SOON",""))))))</f>
        <v/>
      </c>
      <c r="AB13" s="35" t="str">
        <f>IF(Q13="","",IF(AND(X13="",Q13&gt;0),Q13,""))</f>
        <v/>
      </c>
      <c r="AC13" s="59" t="n"/>
      <c r="AD13" s="59" t="inlineStr">
        <is>
          <t>Gas line and venting on rough-in plan.</t>
        </is>
      </c>
      <c r="AE13" s="60" t="str">
        <f>IF(AND(C13&lt;&gt;"",B13='Client Sign-Off'!$D$7),COUNTIFS($B$6:B13,'Client Sign-Off'!$D$7,$C$6:C13,"?*"),"")</f>
        <v/>
      </c>
    </row>
    <row r="14" ht="30" customHeight="1">
      <c r="A14" s="54">
        <f>IF(C14="","",ROW()-5)</f>
        <v>9</v>
      </c>
      <c r="B14" s="40" t="inlineStr">
        <is>
          <t>Kitchen</t>
        </is>
      </c>
      <c r="C14" s="40" t="inlineStr">
        <is>
          <t>Appliance package</t>
        </is>
      </c>
      <c r="D14" s="40" t="inlineStr">
        <is>
          <t>Kitchen</t>
        </is>
      </c>
      <c r="E14" s="40" t="inlineStr">
        <is>
          <t>Appliances</t>
        </is>
      </c>
      <c r="F14" s="40" t="inlineStr">
        <is>
          <t>Before rough-in</t>
        </is>
      </c>
      <c r="G14" s="55">
        <f>IF(F14="","",IFERROR(IF(INDEX(Project!$C$24:$C$27,MATCH(F14,Project!$B$24:$B$27,0))="","",INDEX(Project!$C$24:$C$27,MATCH(F14,Project!$B$24:$B$27,0))),""))</f>
        <v>46307.0</v>
      </c>
      <c r="H14" s="40" t="inlineStr">
        <is>
          <t>Cafe</t>
        </is>
      </c>
      <c r="I14" s="40" t="inlineStr">
        <is>
          <t>Range, hood, fridge, DW, micro (sample)</t>
        </is>
      </c>
      <c r="J14" s="40" t="inlineStr">
        <is>
          <t>Matte White / Brushed Bronze</t>
        </is>
      </c>
      <c r="K14" s="40" t="n"/>
      <c r="L14" s="56" t="n">
        <v>1</v>
      </c>
      <c r="M14" s="40" t="inlineStr">
        <is>
          <t>lot</t>
        </is>
      </c>
      <c r="N14" s="57" t="n">
        <v>10850</v>
      </c>
      <c r="O14" s="35">
        <f>IF(OR(L14="",N14=""),"",L14*N14)</f>
        <v>10850</v>
      </c>
      <c r="P14" s="43" t="n">
        <v>9500</v>
      </c>
      <c r="Q14" s="36">
        <f>IF(OR(O14="",P14=""),"",O14-P14)</f>
        <v>1350</v>
      </c>
      <c r="R14" s="40" t="inlineStr">
        <is>
          <t>Appliance Depot</t>
        </is>
      </c>
      <c r="S14" s="40" t="n"/>
      <c r="T14" s="58" t="n">
        <v>45</v>
      </c>
      <c r="U14" s="42">
        <f>TODAY()+55</f>
        <v>46341.0</v>
      </c>
      <c r="V14" s="55">
        <f>IF(OR(U14="",T14=""),"",U14-T14)</f>
        <v>46296.0</v>
      </c>
      <c r="W14" s="40" t="inlineStr">
        <is>
          <t>Approved</t>
        </is>
      </c>
      <c r="X14" s="42">
        <f>TODAY()-3</f>
        <v>46283.0</v>
      </c>
      <c r="Y14" s="40" t="inlineStr">
        <is>
          <t>C. Miller</t>
        </is>
      </c>
      <c r="Z14" s="32" t="str">
        <f>IF(C14="","",IF(OR(W14="Ordered",W14="Received",W14="Installed"),"Ordered",IF(AND(I14&lt;&gt;"",J14&lt;&gt;"",L14&lt;&gt;"",R14&lt;&gt;"",T14&lt;&gt;"",X14&lt;&gt;""),"READY","Missing: "&amp;_xlfn.TEXTJOIN(", ",TRUE,IF(I14="","model",""),IF(J14="","finish",""),IF(L14="","qty",""),IF(R14="","supplier",""),IF(T14="","lead time",""),IF(X14="","approval","")))))</f>
        <v>READY</v>
      </c>
      <c r="AA14" s="54" t="str">
        <f>IF(C14="","",IF(OR(W14="Ordered",W14="Received",W14="Installed"),"",IF(AND(G14&lt;&gt;"",X14="",G14&lt;TODAY()),"DECISION OVERDUE",IF(V14="","",IF(V14&lt;TODAY(),"ORDER OVERDUE",IF(V14-TODAY()&lt;=14,"ORDER SOON",""))))))</f>
        <v>ORDER SOON</v>
      </c>
      <c r="AB14" s="35" t="str">
        <f>IF(Q14="","",IF(AND(X14="",Q14&gt;0),Q14,""))</f>
        <v/>
      </c>
      <c r="AC14" s="59" t="n"/>
      <c r="AD14" s="59" t="inlineStr">
        <is>
          <t>Over allowance, signed. Cutout specs to cabinet shop.</t>
        </is>
      </c>
      <c r="AE14" s="60" t="str">
        <f>IF(AND(C14&lt;&gt;"",B14='Client Sign-Off'!$D$7),COUNTIFS($B$6:B14,'Client Sign-Off'!$D$7,$C$6:C14,"?*"),"")</f>
        <v/>
      </c>
    </row>
    <row r="15" ht="30" customHeight="1">
      <c r="A15" s="54">
        <f>IF(C15="","",ROW()-5)</f>
        <v>10</v>
      </c>
      <c r="B15" s="40" t="inlineStr">
        <is>
          <t>Kitchen</t>
        </is>
      </c>
      <c r="C15" s="40" t="inlineStr">
        <is>
          <t>Kitchen faucet</t>
        </is>
      </c>
      <c r="D15" s="40" t="inlineStr">
        <is>
          <t>Sink</t>
        </is>
      </c>
      <c r="E15" s="40" t="inlineStr">
        <is>
          <t>Plumbing Fixtures</t>
        </is>
      </c>
      <c r="F15" s="40" t="inlineStr">
        <is>
          <t>Before install</t>
        </is>
      </c>
      <c r="G15" s="55">
        <f>IF(F15="","",IFERROR(IF(INDEX(Project!$C$24:$C$27,MATCH(F15,Project!$B$24:$B$27,0))="","",INDEX(Project!$C$24:$C$27,MATCH(F15,Project!$B$24:$B$27,0))),""))</f>
        <v>46396.0</v>
      </c>
      <c r="H15" s="40" t="inlineStr">
        <is>
          <t>Delta</t>
        </is>
      </c>
      <c r="I15" s="40" t="inlineStr">
        <is>
          <t>9178-AR-DST (sample)</t>
        </is>
      </c>
      <c r="J15" s="40" t="inlineStr">
        <is>
          <t>Arctic Stainless</t>
        </is>
      </c>
      <c r="K15" s="40" t="n"/>
      <c r="L15" s="56" t="n">
        <v>1</v>
      </c>
      <c r="M15" s="40" t="inlineStr">
        <is>
          <t>ea</t>
        </is>
      </c>
      <c r="N15" s="57" t="n">
        <v>389</v>
      </c>
      <c r="O15" s="35">
        <f>IF(OR(L15="",N15=""),"",L15*N15)</f>
        <v>389</v>
      </c>
      <c r="P15" s="43" t="n">
        <v>450</v>
      </c>
      <c r="Q15" s="36">
        <f>IF(OR(O15="",P15=""),"",O15-P15)</f>
        <v>-61</v>
      </c>
      <c r="R15" s="40" t="inlineStr">
        <is>
          <t>Plumbing Supply Co</t>
        </is>
      </c>
      <c r="S15" s="40" t="n"/>
      <c r="T15" s="58" t="n">
        <v>10</v>
      </c>
      <c r="U15" s="42">
        <f>TODAY()+105</f>
        <v>46391.0</v>
      </c>
      <c r="V15" s="55">
        <f>IF(OR(U15="",T15=""),"",U15-T15)</f>
        <v>46381.0</v>
      </c>
      <c r="W15" s="40" t="inlineStr">
        <is>
          <t>Approved</t>
        </is>
      </c>
      <c r="X15" s="42">
        <f>TODAY()-8</f>
        <v>46278.0</v>
      </c>
      <c r="Y15" s="40" t="inlineStr">
        <is>
          <t>J. Miller</t>
        </is>
      </c>
      <c r="Z15" s="32" t="str">
        <f>IF(C15="","",IF(OR(W15="Ordered",W15="Received",W15="Installed"),"Ordered",IF(AND(I15&lt;&gt;"",J15&lt;&gt;"",L15&lt;&gt;"",R15&lt;&gt;"",T15&lt;&gt;"",X15&lt;&gt;""),"READY","Missing: "&amp;_xlfn.TEXTJOIN(", ",TRUE,IF(I15="","model",""),IF(J15="","finish",""),IF(L15="","qty",""),IF(R15="","supplier",""),IF(T15="","lead time",""),IF(X15="","approval","")))))</f>
        <v>READY</v>
      </c>
      <c r="AA15" s="54" t="str">
        <f>IF(C15="","",IF(OR(W15="Ordered",W15="Received",W15="Installed"),"",IF(AND(G15&lt;&gt;"",X15="",G15&lt;TODAY()),"DECISION OVERDUE",IF(V15="","",IF(V15&lt;TODAY(),"ORDER OVERDUE",IF(V15-TODAY()&lt;=14,"ORDER SOON",""))))))</f>
        <v/>
      </c>
      <c r="AB15" s="35" t="str">
        <f>IF(Q15="","",IF(AND(X15="",Q15&gt;0),Q15,""))</f>
        <v/>
      </c>
      <c r="AC15" s="59" t="n"/>
      <c r="AD15" s="59" t="n"/>
      <c r="AE15" s="60" t="str">
        <f>IF(AND(C15&lt;&gt;"",B15='Client Sign-Off'!$D$7),COUNTIFS($B$6:B15,'Client Sign-Off'!$D$7,$C$6:C15,"?*"),"")</f>
        <v/>
      </c>
    </row>
    <row r="16" ht="30" customHeight="1">
      <c r="A16" s="54">
        <f>IF(C16="","",ROW()-5)</f>
        <v>11</v>
      </c>
      <c r="B16" s="40" t="inlineStr">
        <is>
          <t>Kitchen</t>
        </is>
      </c>
      <c r="C16" s="40" t="inlineStr">
        <is>
          <t>Kitchen sink</t>
        </is>
      </c>
      <c r="D16" s="40" t="inlineStr">
        <is>
          <t>Island</t>
        </is>
      </c>
      <c r="E16" s="40" t="inlineStr">
        <is>
          <t>Plumbing Fixtures</t>
        </is>
      </c>
      <c r="F16" s="40" t="inlineStr">
        <is>
          <t>Before drywall</t>
        </is>
      </c>
      <c r="G16" s="55">
        <f>IF(F16="","",IFERROR(IF(INDEX(Project!$C$24:$C$27,MATCH(F16,Project!$B$24:$B$27,0))="","",INDEX(Project!$C$24:$C$27,MATCH(F16,Project!$B$24:$B$27,0))),""))</f>
        <v>46346.0</v>
      </c>
      <c r="H16" s="40" t="inlineStr">
        <is>
          <t>Kohler</t>
        </is>
      </c>
      <c r="I16" s="40" t="inlineStr">
        <is>
          <t>K-6488 (sample)</t>
        </is>
      </c>
      <c r="J16" s="40" t="inlineStr">
        <is>
          <t>White</t>
        </is>
      </c>
      <c r="K16" s="40" t="inlineStr">
        <is>
          <t>36 in</t>
        </is>
      </c>
      <c r="L16" s="56" t="n">
        <v>1</v>
      </c>
      <c r="M16" s="40" t="inlineStr">
        <is>
          <t>ea</t>
        </is>
      </c>
      <c r="N16" s="57" t="n">
        <v>540</v>
      </c>
      <c r="O16" s="35">
        <f>IF(OR(L16="",N16=""),"",L16*N16)</f>
        <v>540</v>
      </c>
      <c r="P16" s="43" t="n">
        <v>500</v>
      </c>
      <c r="Q16" s="36">
        <f>IF(OR(O16="",P16=""),"",O16-P16)</f>
        <v>40</v>
      </c>
      <c r="R16" s="40" t="inlineStr">
        <is>
          <t>Plumbing Supply Co</t>
        </is>
      </c>
      <c r="S16" s="40" t="n"/>
      <c r="T16" s="58" t="n">
        <v>21</v>
      </c>
      <c r="U16" s="42">
        <f>TODAY()+70</f>
        <v>46356.0</v>
      </c>
      <c r="V16" s="55">
        <f>IF(OR(U16="",T16=""),"",U16-T16)</f>
        <v>46335.0</v>
      </c>
      <c r="W16" s="40" t="inlineStr">
        <is>
          <t>Approved</t>
        </is>
      </c>
      <c r="X16" s="42">
        <f>TODAY()-8</f>
        <v>46278.0</v>
      </c>
      <c r="Y16" s="40" t="inlineStr">
        <is>
          <t>J. Miller</t>
        </is>
      </c>
      <c r="Z16" s="32" t="str">
        <f>IF(C16="","",IF(OR(W16="Ordered",W16="Received",W16="Installed"),"Ordered",IF(AND(I16&lt;&gt;"",J16&lt;&gt;"",L16&lt;&gt;"",R16&lt;&gt;"",T16&lt;&gt;"",X16&lt;&gt;""),"READY","Missing: "&amp;_xlfn.TEXTJOIN(", ",TRUE,IF(I16="","model",""),IF(J16="","finish",""),IF(L16="","qty",""),IF(R16="","supplier",""),IF(T16="","lead time",""),IF(X16="","approval","")))))</f>
        <v>READY</v>
      </c>
      <c r="AA16" s="54" t="str">
        <f>IF(C16="","",IF(OR(W16="Ordered",W16="Received",W16="Installed"),"",IF(AND(G16&lt;&gt;"",X16="",G16&lt;TODAY()),"DECISION OVERDUE",IF(V16="","",IF(V16&lt;TODAY(),"ORDER OVERDUE",IF(V16-TODAY()&lt;=14,"ORDER SOON",""))))))</f>
        <v/>
      </c>
      <c r="AB16" s="35" t="str">
        <f>IF(Q16="","",IF(AND(X16="",Q16&gt;0),Q16,""))</f>
        <v/>
      </c>
      <c r="AC16" s="59" t="n"/>
      <c r="AD16" s="59" t="inlineStr">
        <is>
          <t>Template needs the sink on site.</t>
        </is>
      </c>
      <c r="AE16" s="60" t="str">
        <f>IF(AND(C16&lt;&gt;"",B16='Client Sign-Off'!$D$7),COUNTIFS($B$6:B16,'Client Sign-Off'!$D$7,$C$6:C16,"?*"),"")</f>
        <v/>
      </c>
    </row>
    <row r="17" ht="30" customHeight="1">
      <c r="A17" s="54">
        <f>IF(C17="","",ROW()-5)</f>
        <v>12</v>
      </c>
      <c r="B17" s="40" t="inlineStr">
        <is>
          <t>Guest Bath</t>
        </is>
      </c>
      <c r="C17" s="40" t="inlineStr">
        <is>
          <t>The gold faucet</t>
        </is>
      </c>
      <c r="D17" s="40" t="inlineStr">
        <is>
          <t>Vanity</t>
        </is>
      </c>
      <c r="E17" s="40" t="inlineStr">
        <is>
          <t>Plumbing Fixtures</t>
        </is>
      </c>
      <c r="F17" s="40" t="inlineStr">
        <is>
          <t>Before install</t>
        </is>
      </c>
      <c r="G17" s="55">
        <f>IF(F17="","",IFERROR(IF(INDEX(Project!$C$24:$C$27,MATCH(F17,Project!$B$24:$B$27,0))="","",INDEX(Project!$C$24:$C$27,MATCH(F17,Project!$B$24:$B$27,0))),""))</f>
        <v>46396.0</v>
      </c>
      <c r="H17" s="40" t="inlineStr">
        <is>
          <t>Brizo</t>
        </is>
      </c>
      <c r="I17" s="40" t="inlineStr">
        <is>
          <t>65050LF-GL (sample)</t>
        </is>
      </c>
      <c r="J17" s="40" t="inlineStr">
        <is>
          <t>Luxe Gold</t>
        </is>
      </c>
      <c r="K17" s="40" t="n"/>
      <c r="L17" s="56" t="n">
        <v>1</v>
      </c>
      <c r="M17" s="40" t="inlineStr">
        <is>
          <t>ea</t>
        </is>
      </c>
      <c r="N17" s="57" t="n">
        <v>1200</v>
      </c>
      <c r="O17" s="35">
        <f>IF(OR(L17="",N17=""),"",L17*N17)</f>
        <v>1200</v>
      </c>
      <c r="P17" s="43" t="n">
        <v>400</v>
      </c>
      <c r="Q17" s="36">
        <f>IF(OR(O17="",P17=""),"",O17-P17)</f>
        <v>800</v>
      </c>
      <c r="R17" s="40" t="inlineStr">
        <is>
          <t>Plumbing Supply Co</t>
        </is>
      </c>
      <c r="S17" s="40" t="n"/>
      <c r="T17" s="58" t="n">
        <v>21</v>
      </c>
      <c r="U17" s="42">
        <f>TODAY()+105</f>
        <v>46391.0</v>
      </c>
      <c r="V17" s="55">
        <f>IF(OR(U17="",T17=""),"",U17-T17)</f>
        <v>46370.0</v>
      </c>
      <c r="W17" s="40" t="inlineStr">
        <is>
          <t>Selected</t>
        </is>
      </c>
      <c r="X17" s="42" t="n"/>
      <c r="Y17" s="40" t="n"/>
      <c r="Z17" s="32" t="str">
        <f>IF(C17="","",IF(OR(W17="Ordered",W17="Received",W17="Installed"),"Ordered",IF(AND(I17&lt;&gt;"",J17&lt;&gt;"",L17&lt;&gt;"",R17&lt;&gt;"",T17&lt;&gt;"",X17&lt;&gt;""),"READY","Missing: "&amp;_xlfn.TEXTJOIN(", ",TRUE,IF(I17="","model",""),IF(J17="","finish",""),IF(L17="","qty",""),IF(R17="","supplier",""),IF(T17="","lead time",""),IF(X17="","approval","")))))</f>
        <v>Missing: approval</v>
      </c>
      <c r="AA17" s="54" t="str">
        <f>IF(C17="","",IF(OR(W17="Ordered",W17="Received",W17="Installed"),"",IF(AND(G17&lt;&gt;"",X17="",G17&lt;TODAY()),"DECISION OVERDUE",IF(V17="","",IF(V17&lt;TODAY(),"ORDER OVERDUE",IF(V17-TODAY()&lt;=14,"ORDER SOON",""))))))</f>
        <v/>
      </c>
      <c r="AB17" s="35">
        <f>IF(Q17="","",IF(AND(X17="",Q17&gt;0),Q17,""))</f>
        <v>800</v>
      </c>
      <c r="AC17" s="59" t="inlineStr">
        <is>
          <t>Kohler K-14406-4-CP or Moen TS32104, client approval required</t>
        </is>
      </c>
      <c r="AD17" s="59" t="inlineStr">
        <is>
          <t>$800 over allowance. Change order drafted, not signed.</t>
        </is>
      </c>
      <c r="AE17" s="60" t="str">
        <f>IF(AND(C17&lt;&gt;"",B17='Client Sign-Off'!$D$7),COUNTIFS($B$6:B17,'Client Sign-Off'!$D$7,$C$6:C17,"?*"),"")</f>
        <v/>
      </c>
    </row>
    <row r="18" ht="30" customHeight="1">
      <c r="A18" s="54">
        <f>IF(C18="","",ROW()-5)</f>
        <v>13</v>
      </c>
      <c r="B18" s="40" t="inlineStr">
        <is>
          <t>Primary Bath</t>
        </is>
      </c>
      <c r="C18" s="40" t="inlineStr">
        <is>
          <t>Vanity faucets</t>
        </is>
      </c>
      <c r="D18" s="40" t="inlineStr">
        <is>
          <t>Double vanity</t>
        </is>
      </c>
      <c r="E18" s="40" t="inlineStr">
        <is>
          <t>Plumbing Fixtures</t>
        </is>
      </c>
      <c r="F18" s="40" t="inlineStr">
        <is>
          <t>Before install</t>
        </is>
      </c>
      <c r="G18" s="55">
        <f>IF(F18="","",IFERROR(IF(INDEX(Project!$C$24:$C$27,MATCH(F18,Project!$B$24:$B$27,0))="","",INDEX(Project!$C$24:$C$27,MATCH(F18,Project!$B$24:$B$27,0))),""))</f>
        <v>46396.0</v>
      </c>
      <c r="H18" s="40" t="inlineStr">
        <is>
          <t>Moen</t>
        </is>
      </c>
      <c r="I18" s="40" t="inlineStr">
        <is>
          <t>6192BG (sample)</t>
        </is>
      </c>
      <c r="J18" s="40" t="inlineStr">
        <is>
          <t>Brushed Gold</t>
        </is>
      </c>
      <c r="K18" s="40" t="n"/>
      <c r="L18" s="56" t="n">
        <v>2</v>
      </c>
      <c r="M18" s="40" t="inlineStr">
        <is>
          <t>ea</t>
        </is>
      </c>
      <c r="N18" s="57" t="n">
        <v>365</v>
      </c>
      <c r="O18" s="35">
        <f>IF(OR(L18="",N18=""),"",L18*N18)</f>
        <v>730</v>
      </c>
      <c r="P18" s="43" t="n">
        <v>800</v>
      </c>
      <c r="Q18" s="36">
        <f>IF(OR(O18="",P18=""),"",O18-P18)</f>
        <v>-70</v>
      </c>
      <c r="R18" s="40" t="inlineStr">
        <is>
          <t>Plumbing Supply Co</t>
        </is>
      </c>
      <c r="S18" s="40" t="n"/>
      <c r="T18" s="58" t="n">
        <v>14</v>
      </c>
      <c r="U18" s="42">
        <f>TODAY()+105</f>
        <v>46391.0</v>
      </c>
      <c r="V18" s="55">
        <f>IF(OR(U18="",T18=""),"",U18-T18)</f>
        <v>46377.0</v>
      </c>
      <c r="W18" s="40" t="inlineStr">
        <is>
          <t>Approved</t>
        </is>
      </c>
      <c r="X18" s="42">
        <f>TODAY()-6</f>
        <v>46280.0</v>
      </c>
      <c r="Y18" s="40" t="inlineStr">
        <is>
          <t>C. Miller</t>
        </is>
      </c>
      <c r="Z18" s="32" t="str">
        <f>IF(C18="","",IF(OR(W18="Ordered",W18="Received",W18="Installed"),"Ordered",IF(AND(I18&lt;&gt;"",J18&lt;&gt;"",L18&lt;&gt;"",R18&lt;&gt;"",T18&lt;&gt;"",X18&lt;&gt;""),"READY","Missing: "&amp;_xlfn.TEXTJOIN(", ",TRUE,IF(I18="","model",""),IF(J18="","finish",""),IF(L18="","qty",""),IF(R18="","supplier",""),IF(T18="","lead time",""),IF(X18="","approval","")))))</f>
        <v>READY</v>
      </c>
      <c r="AA18" s="54" t="str">
        <f>IF(C18="","",IF(OR(W18="Ordered",W18="Received",W18="Installed"),"",IF(AND(G18&lt;&gt;"",X18="",G18&lt;TODAY()),"DECISION OVERDUE",IF(V18="","",IF(V18&lt;TODAY(),"ORDER OVERDUE",IF(V18-TODAY()&lt;=14,"ORDER SOON",""))))))</f>
        <v/>
      </c>
      <c r="AB18" s="35" t="str">
        <f>IF(Q18="","",IF(AND(X18="",Q18&gt;0),Q18,""))</f>
        <v/>
      </c>
      <c r="AC18" s="59" t="n"/>
      <c r="AD18" s="59" t="n"/>
      <c r="AE18" s="60">
        <f>IF(AND(C18&lt;&gt;"",B18='Client Sign-Off'!$D$7),COUNTIFS($B$6:B18,'Client Sign-Off'!$D$7,$C$6:C18,"?*"),"")</f>
        <v>2</v>
      </c>
    </row>
    <row r="19" ht="30" customHeight="1">
      <c r="A19" s="54">
        <f>IF(C19="","",ROW()-5)</f>
        <v>14</v>
      </c>
      <c r="B19" s="40" t="inlineStr">
        <is>
          <t>Primary Bath</t>
        </is>
      </c>
      <c r="C19" s="40" t="inlineStr">
        <is>
          <t>Shower valve and trim</t>
        </is>
      </c>
      <c r="D19" s="40" t="inlineStr">
        <is>
          <t>Shower</t>
        </is>
      </c>
      <c r="E19" s="40" t="inlineStr">
        <is>
          <t>Plumbing Fixtures</t>
        </is>
      </c>
      <c r="F19" s="40" t="inlineStr">
        <is>
          <t>Before rough-in</t>
        </is>
      </c>
      <c r="G19" s="55">
        <f>IF(F19="","",IFERROR(IF(INDEX(Project!$C$24:$C$27,MATCH(F19,Project!$B$24:$B$27,0))="","",INDEX(Project!$C$24:$C$27,MATCH(F19,Project!$B$24:$B$27,0))),""))</f>
        <v>46307.0</v>
      </c>
      <c r="H19" s="40" t="inlineStr">
        <is>
          <t>Kohler</t>
        </is>
      </c>
      <c r="I19" s="40" t="inlineStr">
        <is>
          <t>K-TS73060-4 (sample)</t>
        </is>
      </c>
      <c r="J19" s="40" t="inlineStr">
        <is>
          <t>Vibrant Brushed Moderne Brass</t>
        </is>
      </c>
      <c r="K19" s="40" t="n"/>
      <c r="L19" s="56" t="n">
        <v>1</v>
      </c>
      <c r="M19" s="40" t="inlineStr">
        <is>
          <t>set</t>
        </is>
      </c>
      <c r="N19" s="57" t="n">
        <v>1180</v>
      </c>
      <c r="O19" s="35">
        <f>IF(OR(L19="",N19=""),"",L19*N19)</f>
        <v>1180</v>
      </c>
      <c r="P19" s="43" t="n">
        <v>900</v>
      </c>
      <c r="Q19" s="36">
        <f>IF(OR(O19="",P19=""),"",O19-P19)</f>
        <v>280</v>
      </c>
      <c r="R19" s="40" t="inlineStr">
        <is>
          <t>Plumbing Supply Co</t>
        </is>
      </c>
      <c r="S19" s="40" t="n"/>
      <c r="T19" s="58" t="n">
        <v>14</v>
      </c>
      <c r="U19" s="42">
        <f>TODAY()+38</f>
        <v>46324.0</v>
      </c>
      <c r="V19" s="55">
        <f>IF(OR(U19="",T19=""),"",U19-T19)</f>
        <v>46310.0</v>
      </c>
      <c r="W19" s="40" t="inlineStr">
        <is>
          <t>Approved</t>
        </is>
      </c>
      <c r="X19" s="42">
        <f>TODAY()-9</f>
        <v>46277.0</v>
      </c>
      <c r="Y19" s="40" t="inlineStr">
        <is>
          <t>J. Miller</t>
        </is>
      </c>
      <c r="Z19" s="32" t="str">
        <f>IF(C19="","",IF(OR(W19="Ordered",W19="Received",W19="Installed"),"Ordered",IF(AND(I19&lt;&gt;"",J19&lt;&gt;"",L19&lt;&gt;"",R19&lt;&gt;"",T19&lt;&gt;"",X19&lt;&gt;""),"READY","Missing: "&amp;_xlfn.TEXTJOIN(", ",TRUE,IF(I19="","model",""),IF(J19="","finish",""),IF(L19="","qty",""),IF(R19="","supplier",""),IF(T19="","lead time",""),IF(X19="","approval","")))))</f>
        <v>READY</v>
      </c>
      <c r="AA19" s="54" t="str">
        <f>IF(C19="","",IF(OR(W19="Ordered",W19="Received",W19="Installed"),"",IF(AND(G19&lt;&gt;"",X19="",G19&lt;TODAY()),"DECISION OVERDUE",IF(V19="","",IF(V19&lt;TODAY(),"ORDER OVERDUE",IF(V19-TODAY()&lt;=14,"ORDER SOON",""))))))</f>
        <v/>
      </c>
      <c r="AB19" s="35" t="str">
        <f>IF(Q19="","",IF(AND(X19="",Q19&gt;0),Q19,""))</f>
        <v/>
      </c>
      <c r="AC19" s="59" t="n"/>
      <c r="AD19" s="59" t="inlineStr">
        <is>
          <t>Valve body needed at rough-in, trim at install.</t>
        </is>
      </c>
      <c r="AE19" s="60">
        <f>IF(AND(C19&lt;&gt;"",B19='Client Sign-Off'!$D$7),COUNTIFS($B$6:B19,'Client Sign-Off'!$D$7,$C$6:C19,"?*"),"")</f>
        <v>3</v>
      </c>
    </row>
    <row r="20" ht="30" customHeight="1">
      <c r="A20" s="54">
        <f>IF(C20="","",ROW()-5)</f>
        <v>15</v>
      </c>
      <c r="B20" s="40" t="inlineStr">
        <is>
          <t>Whole House</t>
        </is>
      </c>
      <c r="C20" s="40" t="inlineStr">
        <is>
          <t>Toilets</t>
        </is>
      </c>
      <c r="D20" s="40" t="inlineStr">
        <is>
          <t>All baths</t>
        </is>
      </c>
      <c r="E20" s="40" t="inlineStr">
        <is>
          <t>Plumbing Fixtures</t>
        </is>
      </c>
      <c r="F20" s="40" t="inlineStr">
        <is>
          <t>Before install</t>
        </is>
      </c>
      <c r="G20" s="55">
        <f>IF(F20="","",IFERROR(IF(INDEX(Project!$C$24:$C$27,MATCH(F20,Project!$B$24:$B$27,0))="","",INDEX(Project!$C$24:$C$27,MATCH(F20,Project!$B$24:$B$27,0))),""))</f>
        <v>46396.0</v>
      </c>
      <c r="H20" s="40" t="inlineStr">
        <is>
          <t>TOTO</t>
        </is>
      </c>
      <c r="I20" s="40" t="inlineStr">
        <is>
          <t>Drake II (sample)</t>
        </is>
      </c>
      <c r="J20" s="40" t="inlineStr">
        <is>
          <t>Cotton White</t>
        </is>
      </c>
      <c r="K20" s="40" t="n"/>
      <c r="L20" s="56" t="n">
        <v>4</v>
      </c>
      <c r="M20" s="40" t="inlineStr">
        <is>
          <t>ea</t>
        </is>
      </c>
      <c r="N20" s="57" t="n">
        <v>395</v>
      </c>
      <c r="O20" s="35">
        <f>IF(OR(L20="",N20=""),"",L20*N20)</f>
        <v>1580</v>
      </c>
      <c r="P20" s="43" t="n">
        <v>1600</v>
      </c>
      <c r="Q20" s="36">
        <f>IF(OR(O20="",P20=""),"",O20-P20)</f>
        <v>-20</v>
      </c>
      <c r="R20" s="40" t="inlineStr">
        <is>
          <t>Plumbing Supply Co</t>
        </is>
      </c>
      <c r="S20" s="40" t="inlineStr">
        <is>
          <t>hudsonvalleylighting.com</t>
        </is>
      </c>
      <c r="T20" s="58" t="n">
        <v>14</v>
      </c>
      <c r="U20" s="42">
        <f>TODAY()+105</f>
        <v>46391.0</v>
      </c>
      <c r="V20" s="55">
        <f>IF(OR(U20="",T20=""),"",U20-T20)</f>
        <v>46377.0</v>
      </c>
      <c r="W20" s="40" t="inlineStr">
        <is>
          <t>Approved</t>
        </is>
      </c>
      <c r="X20" s="42">
        <f>TODAY()-6</f>
        <v>46280.0</v>
      </c>
      <c r="Y20" s="40" t="inlineStr">
        <is>
          <t>J. Miller</t>
        </is>
      </c>
      <c r="Z20" s="32" t="str">
        <f>IF(C20="","",IF(OR(W20="Ordered",W20="Received",W20="Installed"),"Ordered",IF(AND(I20&lt;&gt;"",J20&lt;&gt;"",L20&lt;&gt;"",R20&lt;&gt;"",T20&lt;&gt;"",X20&lt;&gt;""),"READY","Missing: "&amp;_xlfn.TEXTJOIN(", ",TRUE,IF(I20="","model",""),IF(J20="","finish",""),IF(L20="","qty",""),IF(R20="","supplier",""),IF(T20="","lead time",""),IF(X20="","approval","")))))</f>
        <v>READY</v>
      </c>
      <c r="AA20" s="54" t="str">
        <f>IF(C20="","",IF(OR(W20="Ordered",W20="Received",W20="Installed"),"",IF(AND(G20&lt;&gt;"",X20="",G20&lt;TODAY()),"DECISION OVERDUE",IF(V20="","",IF(V20&lt;TODAY(),"ORDER OVERDUE",IF(V20-TODAY()&lt;=14,"ORDER SOON",""))))))</f>
        <v/>
      </c>
      <c r="AB20" s="35" t="str">
        <f>IF(Q20="","",IF(AND(X20="",Q20&gt;0),Q20,""))</f>
        <v/>
      </c>
      <c r="AC20" s="59" t="n"/>
      <c r="AD20" s="59" t="n"/>
      <c r="AE20" s="60" t="str">
        <f>IF(AND(C20&lt;&gt;"",B20='Client Sign-Off'!$D$7),COUNTIFS($B$6:B20,'Client Sign-Off'!$D$7,$C$6:C20,"?*"),"")</f>
        <v/>
      </c>
    </row>
    <row r="21" ht="30" customHeight="1">
      <c r="A21" s="54">
        <f>IF(C21="","",ROW()-5)</f>
        <v>16</v>
      </c>
      <c r="B21" s="40" t="inlineStr">
        <is>
          <t>Laundry</t>
        </is>
      </c>
      <c r="C21" s="40" t="inlineStr">
        <is>
          <t>Washer box</t>
        </is>
      </c>
      <c r="D21" s="40" t="inlineStr">
        <is>
          <t>Laundry wall</t>
        </is>
      </c>
      <c r="E21" s="40" t="inlineStr">
        <is>
          <t>Plumbing Fixtures</t>
        </is>
      </c>
      <c r="F21" s="40" t="inlineStr">
        <is>
          <t>Before rough-in</t>
        </is>
      </c>
      <c r="G21" s="55">
        <f>IF(F21="","",IFERROR(IF(INDEX(Project!$C$24:$C$27,MATCH(F21,Project!$B$24:$B$27,0))="","",INDEX(Project!$C$24:$C$27,MATCH(F21,Project!$B$24:$B$27,0))),""))</f>
        <v>46307.0</v>
      </c>
      <c r="H21" s="40" t="inlineStr">
        <is>
          <t>Oatey</t>
        </is>
      </c>
      <c r="I21" s="40" t="inlineStr">
        <is>
          <t>Fire-rated box (sample)</t>
        </is>
      </c>
      <c r="J21" s="40" t="inlineStr">
        <is>
          <t>N/A</t>
        </is>
      </c>
      <c r="K21" s="40" t="n"/>
      <c r="L21" s="56" t="n">
        <v>1</v>
      </c>
      <c r="M21" s="40" t="inlineStr">
        <is>
          <t>ea</t>
        </is>
      </c>
      <c r="N21" s="57" t="n">
        <v>65</v>
      </c>
      <c r="O21" s="35">
        <f>IF(OR(L21="",N21=""),"",L21*N21)</f>
        <v>65</v>
      </c>
      <c r="P21" s="43" t="n"/>
      <c r="Q21" s="36" t="str">
        <f>IF(OR(O21="",P21=""),"",O21-P21)</f>
        <v/>
      </c>
      <c r="R21" s="40" t="inlineStr">
        <is>
          <t>Plumbing Supply Co</t>
        </is>
      </c>
      <c r="S21" s="40" t="n"/>
      <c r="T21" s="58" t="n">
        <v>3</v>
      </c>
      <c r="U21" s="42">
        <f>TODAY()+20</f>
        <v>46306.0</v>
      </c>
      <c r="V21" s="55">
        <f>IF(OR(U21="",T21=""),"",U21-T21)</f>
        <v>46303.0</v>
      </c>
      <c r="W21" s="40" t="inlineStr">
        <is>
          <t>Approved</t>
        </is>
      </c>
      <c r="X21" s="42">
        <f>TODAY()-10</f>
        <v>46276.0</v>
      </c>
      <c r="Y21" s="40" t="inlineStr">
        <is>
          <t>J. Miller</t>
        </is>
      </c>
      <c r="Z21" s="32" t="str">
        <f>IF(C21="","",IF(OR(W21="Ordered",W21="Received",W21="Installed"),"Ordered",IF(AND(I21&lt;&gt;"",J21&lt;&gt;"",L21&lt;&gt;"",R21&lt;&gt;"",T21&lt;&gt;"",X21&lt;&gt;""),"READY","Missing: "&amp;_xlfn.TEXTJOIN(", ",TRUE,IF(I21="","model",""),IF(J21="","finish",""),IF(L21="","qty",""),IF(R21="","supplier",""),IF(T21="","lead time",""),IF(X21="","approval","")))))</f>
        <v>READY</v>
      </c>
      <c r="AA21" s="54" t="str">
        <f>IF(C21="","",IF(OR(W21="Ordered",W21="Received",W21="Installed"),"",IF(AND(G21&lt;&gt;"",X21="",G21&lt;TODAY()),"DECISION OVERDUE",IF(V21="","",IF(V21&lt;TODAY(),"ORDER OVERDUE",IF(V21-TODAY()&lt;=14,"ORDER SOON",""))))))</f>
        <v/>
      </c>
      <c r="AB21" s="35" t="str">
        <f>IF(Q21="","",IF(AND(X21="",Q21&gt;0),Q21,""))</f>
        <v/>
      </c>
      <c r="AC21" s="59" t="n"/>
      <c r="AD21" s="59" t="n"/>
      <c r="AE21" s="60" t="str">
        <f>IF(AND(C21&lt;&gt;"",B21='Client Sign-Off'!$D$7),COUNTIFS($B$6:B21,'Client Sign-Off'!$D$7,$C$6:C21,"?*"),"")</f>
        <v/>
      </c>
    </row>
    <row r="22" ht="30" customHeight="1">
      <c r="A22" s="54">
        <f>IF(C22="","",ROW()-5)</f>
        <v>17</v>
      </c>
      <c r="B22" s="40" t="inlineStr">
        <is>
          <t>Whole House</t>
        </is>
      </c>
      <c r="C22" s="40" t="inlineStr">
        <is>
          <t>Recessed lights</t>
        </is>
      </c>
      <c r="D22" s="40" t="inlineStr">
        <is>
          <t>Per lighting plan</t>
        </is>
      </c>
      <c r="E22" s="40" t="inlineStr">
        <is>
          <t>Lighting</t>
        </is>
      </c>
      <c r="F22" s="40" t="inlineStr">
        <is>
          <t>Before rough-in</t>
        </is>
      </c>
      <c r="G22" s="55">
        <f>IF(F22="","",IFERROR(IF(INDEX(Project!$C$24:$C$27,MATCH(F22,Project!$B$24:$B$27,0))="","",INDEX(Project!$C$24:$C$27,MATCH(F22,Project!$B$24:$B$27,0))),""))</f>
        <v>46307.0</v>
      </c>
      <c r="H22" s="40" t="inlineStr">
        <is>
          <t>Halo</t>
        </is>
      </c>
      <c r="I22" s="40" t="inlineStr">
        <is>
          <t>6 in LED (sample)</t>
        </is>
      </c>
      <c r="J22" s="40" t="inlineStr">
        <is>
          <t>3000K, white trim</t>
        </is>
      </c>
      <c r="K22" s="40" t="inlineStr">
        <is>
          <t>6 in</t>
        </is>
      </c>
      <c r="L22" s="56" t="n">
        <v>42</v>
      </c>
      <c r="M22" s="40" t="inlineStr">
        <is>
          <t>ea</t>
        </is>
      </c>
      <c r="N22" s="57" t="n">
        <v>28</v>
      </c>
      <c r="O22" s="35">
        <f>IF(OR(L22="",N22=""),"",L22*N22)</f>
        <v>1176</v>
      </c>
      <c r="P22" s="43" t="n"/>
      <c r="Q22" s="36" t="str">
        <f>IF(OR(O22="",P22=""),"",O22-P22)</f>
        <v/>
      </c>
      <c r="R22" s="40" t="inlineStr">
        <is>
          <t>City Electric</t>
        </is>
      </c>
      <c r="S22" s="40" t="n"/>
      <c r="T22" s="58" t="n">
        <v>7</v>
      </c>
      <c r="U22" s="42">
        <f>TODAY()+25</f>
        <v>46311.0</v>
      </c>
      <c r="V22" s="55">
        <f>IF(OR(U22="",T22=""),"",U22-T22)</f>
        <v>46304.0</v>
      </c>
      <c r="W22" s="40" t="inlineStr">
        <is>
          <t>Approved</t>
        </is>
      </c>
      <c r="X22" s="42">
        <f>TODAY()-10</f>
        <v>46276.0</v>
      </c>
      <c r="Y22" s="40" t="inlineStr">
        <is>
          <t>C. Miller</t>
        </is>
      </c>
      <c r="Z22" s="32" t="str">
        <f>IF(C22="","",IF(OR(W22="Ordered",W22="Received",W22="Installed"),"Ordered",IF(AND(I22&lt;&gt;"",J22&lt;&gt;"",L22&lt;&gt;"",R22&lt;&gt;"",T22&lt;&gt;"",X22&lt;&gt;""),"READY","Missing: "&amp;_xlfn.TEXTJOIN(", ",TRUE,IF(I22="","model",""),IF(J22="","finish",""),IF(L22="","qty",""),IF(R22="","supplier",""),IF(T22="","lead time",""),IF(X22="","approval","")))))</f>
        <v>READY</v>
      </c>
      <c r="AA22" s="54" t="str">
        <f>IF(C22="","",IF(OR(W22="Ordered",W22="Received",W22="Installed"),"",IF(AND(G22&lt;&gt;"",X22="",G22&lt;TODAY()),"DECISION OVERDUE",IF(V22="","",IF(V22&lt;TODAY(),"ORDER OVERDUE",IF(V22-TODAY()&lt;=14,"ORDER SOON",""))))))</f>
        <v/>
      </c>
      <c r="AB22" s="35" t="str">
        <f>IF(Q22="","",IF(AND(X22="",Q22&gt;0),Q22,""))</f>
        <v/>
      </c>
      <c r="AC22" s="59" t="n"/>
      <c r="AD22" s="59" t="inlineStr">
        <is>
          <t>Count walked with client on the plan.</t>
        </is>
      </c>
      <c r="AE22" s="60" t="str">
        <f>IF(AND(C22&lt;&gt;"",B22='Client Sign-Off'!$D$7),COUNTIFS($B$6:B22,'Client Sign-Off'!$D$7,$C$6:C22,"?*"),"")</f>
        <v/>
      </c>
    </row>
    <row r="23" ht="30" customHeight="1">
      <c r="A23" s="54">
        <f>IF(C23="","",ROW()-5)</f>
        <v>18</v>
      </c>
      <c r="B23" s="40" t="inlineStr">
        <is>
          <t>Primary Bedroom</t>
        </is>
      </c>
      <c r="C23" s="40" t="inlineStr">
        <is>
          <t>Ceiling fan</t>
        </is>
      </c>
      <c r="D23" s="40" t="inlineStr">
        <is>
          <t>Center of room</t>
        </is>
      </c>
      <c r="E23" s="40" t="inlineStr">
        <is>
          <t>Lighting</t>
        </is>
      </c>
      <c r="F23" s="40" t="inlineStr">
        <is>
          <t>Before rough-in</t>
        </is>
      </c>
      <c r="G23" s="55">
        <f>IF(F23="","",IFERROR(IF(INDEX(Project!$C$24:$C$27,MATCH(F23,Project!$B$24:$B$27,0))="","",INDEX(Project!$C$24:$C$27,MATCH(F23,Project!$B$24:$B$27,0))),""))</f>
        <v>46307.0</v>
      </c>
      <c r="H23" s="40" t="inlineStr">
        <is>
          <t>Minka Aire</t>
        </is>
      </c>
      <c r="I23" s="40" t="n"/>
      <c r="J23" s="40" t="n"/>
      <c r="K23" s="40" t="inlineStr">
        <is>
          <t>52 in</t>
        </is>
      </c>
      <c r="L23" s="56" t="n">
        <v>1</v>
      </c>
      <c r="M23" s="40" t="inlineStr">
        <is>
          <t>ea</t>
        </is>
      </c>
      <c r="N23" s="57" t="n">
        <v>420</v>
      </c>
      <c r="O23" s="35">
        <f>IF(OR(L23="",N23=""),"",L23*N23)</f>
        <v>420</v>
      </c>
      <c r="P23" s="43" t="n">
        <v>450</v>
      </c>
      <c r="Q23" s="36">
        <f>IF(OR(O23="",P23=""),"",O23-P23)</f>
        <v>-30</v>
      </c>
      <c r="R23" s="40" t="inlineStr">
        <is>
          <t>City Electric</t>
        </is>
      </c>
      <c r="S23" s="40" t="n"/>
      <c r="T23" s="58" t="n">
        <v>10</v>
      </c>
      <c r="U23" s="42">
        <f>TODAY()+105</f>
        <v>46391.0</v>
      </c>
      <c r="V23" s="55">
        <f>IF(OR(U23="",T23=""),"",U23-T23)</f>
        <v>46381.0</v>
      </c>
      <c r="W23" s="40" t="inlineStr">
        <is>
          <t>Pending</t>
        </is>
      </c>
      <c r="X23" s="42" t="n"/>
      <c r="Y23" s="40" t="n"/>
      <c r="Z23" s="32" t="str">
        <f>IF(C23="","",IF(OR(W23="Ordered",W23="Received",W23="Installed"),"Ordered",IF(AND(I23&lt;&gt;"",J23&lt;&gt;"",L23&lt;&gt;"",R23&lt;&gt;"",T23&lt;&gt;"",X23&lt;&gt;""),"READY","Missing: "&amp;_xlfn.TEXTJOIN(", ",TRUE,IF(I23="","model",""),IF(J23="","finish",""),IF(L23="","qty",""),IF(R23="","supplier",""),IF(T23="","lead time",""),IF(X23="","approval","")))))</f>
        <v>Missing: model, finish, approval</v>
      </c>
      <c r="AA23" s="54" t="str">
        <f>IF(C23="","",IF(OR(W23="Ordered",W23="Received",W23="Installed"),"",IF(AND(G23&lt;&gt;"",X23="",G23&lt;TODAY()),"DECISION OVERDUE",IF(V23="","",IF(V23&lt;TODAY(),"ORDER OVERDUE",IF(V23-TODAY()&lt;=14,"ORDER SOON",""))))))</f>
        <v/>
      </c>
      <c r="AB23" s="35" t="str">
        <f>IF(Q23="","",IF(AND(X23="",Q23&gt;0),Q23,""))</f>
        <v/>
      </c>
      <c r="AC23" s="59" t="n"/>
      <c r="AD23" s="59" t="inlineStr">
        <is>
          <t>Fan-rated box goes in at rough-in either way.</t>
        </is>
      </c>
      <c r="AE23" s="60" t="str">
        <f>IF(AND(C23&lt;&gt;"",B23='Client Sign-Off'!$D$7),COUNTIFS($B$6:B23,'Client Sign-Off'!$D$7,$C$6:C23,"?*"),"")</f>
        <v/>
      </c>
    </row>
    <row r="24" ht="30" customHeight="1">
      <c r="A24" s="54">
        <f>IF(C24="","",ROW()-5)</f>
        <v>19</v>
      </c>
      <c r="B24" s="40" t="inlineStr">
        <is>
          <t>Kitchen</t>
        </is>
      </c>
      <c r="C24" s="40" t="inlineStr">
        <is>
          <t>Pendant over sink</t>
        </is>
      </c>
      <c r="D24" s="40" t="inlineStr">
        <is>
          <t>Sink window</t>
        </is>
      </c>
      <c r="E24" s="40" t="inlineStr">
        <is>
          <t>Lighting</t>
        </is>
      </c>
      <c r="F24" s="40" t="inlineStr">
        <is>
          <t>Before install</t>
        </is>
      </c>
      <c r="G24" s="55">
        <f>IF(F24="","",IFERROR(IF(INDEX(Project!$C$24:$C$27,MATCH(F24,Project!$B$24:$B$27,0))="","",INDEX(Project!$C$24:$C$27,MATCH(F24,Project!$B$24:$B$27,0))),""))</f>
        <v>46396.0</v>
      </c>
      <c r="H24" s="40" t="inlineStr">
        <is>
          <t>Visual Comfort</t>
        </is>
      </c>
      <c r="I24" s="40" t="inlineStr">
        <is>
          <t>PL-110 (sample)</t>
        </is>
      </c>
      <c r="J24" s="40" t="inlineStr">
        <is>
          <t>Aged Brass</t>
        </is>
      </c>
      <c r="K24" s="40" t="n"/>
      <c r="L24" s="56" t="n">
        <v>1</v>
      </c>
      <c r="M24" s="40" t="inlineStr">
        <is>
          <t>ea</t>
        </is>
      </c>
      <c r="N24" s="57" t="n">
        <v>275</v>
      </c>
      <c r="O24" s="35">
        <f>IF(OR(L24="",N24=""),"",L24*N24)</f>
        <v>275</v>
      </c>
      <c r="P24" s="43" t="n">
        <v>350</v>
      </c>
      <c r="Q24" s="36">
        <f>IF(OR(O24="",P24=""),"",O24-P24)</f>
        <v>-75</v>
      </c>
      <c r="R24" s="40" t="inlineStr">
        <is>
          <t>Lighting Gallery</t>
        </is>
      </c>
      <c r="S24" s="40" t="n"/>
      <c r="T24" s="58" t="n">
        <v>21</v>
      </c>
      <c r="U24" s="42">
        <f>TODAY()+100</f>
        <v>46386.0</v>
      </c>
      <c r="V24" s="55">
        <f>IF(OR(U24="",T24=""),"",U24-T24)</f>
        <v>46365.0</v>
      </c>
      <c r="W24" s="40" t="inlineStr">
        <is>
          <t>Approved</t>
        </is>
      </c>
      <c r="X24" s="42">
        <f>TODAY()-4</f>
        <v>46282.0</v>
      </c>
      <c r="Y24" s="40" t="inlineStr">
        <is>
          <t>C. Miller</t>
        </is>
      </c>
      <c r="Z24" s="32" t="str">
        <f>IF(C24="","",IF(OR(W24="Ordered",W24="Received",W24="Installed"),"Ordered",IF(AND(I24&lt;&gt;"",J24&lt;&gt;"",L24&lt;&gt;"",R24&lt;&gt;"",T24&lt;&gt;"",X24&lt;&gt;""),"READY","Missing: "&amp;_xlfn.TEXTJOIN(", ",TRUE,IF(I24="","model",""),IF(J24="","finish",""),IF(L24="","qty",""),IF(R24="","supplier",""),IF(T24="","lead time",""),IF(X24="","approval","")))))</f>
        <v>READY</v>
      </c>
      <c r="AA24" s="54" t="str">
        <f>IF(C24="","",IF(OR(W24="Ordered",W24="Received",W24="Installed"),"",IF(AND(G24&lt;&gt;"",X24="",G24&lt;TODAY()),"DECISION OVERDUE",IF(V24="","",IF(V24&lt;TODAY(),"ORDER OVERDUE",IF(V24-TODAY()&lt;=14,"ORDER SOON",""))))))</f>
        <v/>
      </c>
      <c r="AB24" s="35" t="str">
        <f>IF(Q24="","",IF(AND(X24="",Q24&gt;0),Q24,""))</f>
        <v/>
      </c>
      <c r="AC24" s="59" t="n"/>
      <c r="AD24" s="59" t="n"/>
      <c r="AE24" s="60" t="str">
        <f>IF(AND(C24&lt;&gt;"",B24='Client Sign-Off'!$D$7),COUNTIFS($B$6:B24,'Client Sign-Off'!$D$7,$C$6:C24,"?*"),"")</f>
        <v/>
      </c>
    </row>
    <row r="25" ht="30" customHeight="1">
      <c r="A25" s="54">
        <f>IF(C25="","",ROW()-5)</f>
        <v>20</v>
      </c>
      <c r="B25" s="40" t="inlineStr">
        <is>
          <t>Kitchen</t>
        </is>
      </c>
      <c r="C25" s="40" t="inlineStr">
        <is>
          <t>Island pendants</t>
        </is>
      </c>
      <c r="D25" s="40" t="inlineStr">
        <is>
          <t>Island</t>
        </is>
      </c>
      <c r="E25" s="40" t="inlineStr">
        <is>
          <t>Lighting</t>
        </is>
      </c>
      <c r="F25" s="40" t="inlineStr">
        <is>
          <t>Before install</t>
        </is>
      </c>
      <c r="G25" s="55">
        <f>IF(F25="","",IFERROR(IF(INDEX(Project!$C$24:$C$27,MATCH(F25,Project!$B$24:$B$27,0))="","",INDEX(Project!$C$24:$C$27,MATCH(F25,Project!$B$24:$B$27,0))),""))</f>
        <v>46396.0</v>
      </c>
      <c r="H25" s="40" t="inlineStr">
        <is>
          <t>Hudson Valley</t>
        </is>
      </c>
      <c r="I25" s="40" t="n"/>
      <c r="J25" s="40" t="n"/>
      <c r="K25" s="40" t="n"/>
      <c r="L25" s="56" t="n">
        <v>3</v>
      </c>
      <c r="M25" s="40" t="inlineStr">
        <is>
          <t>ea</t>
        </is>
      </c>
      <c r="N25" s="57" t="n">
        <v>310</v>
      </c>
      <c r="O25" s="35">
        <f>IF(OR(L25="",N25=""),"",L25*N25)</f>
        <v>930</v>
      </c>
      <c r="P25" s="43" t="n">
        <v>900</v>
      </c>
      <c r="Q25" s="36">
        <f>IF(OR(O25="",P25=""),"",O25-P25)</f>
        <v>30</v>
      </c>
      <c r="R25" s="40" t="inlineStr">
        <is>
          <t>Lighting Gallery</t>
        </is>
      </c>
      <c r="S25" s="40" t="n"/>
      <c r="T25" s="58" t="n">
        <v>28</v>
      </c>
      <c r="U25" s="42">
        <f>TODAY()+100</f>
        <v>46386.0</v>
      </c>
      <c r="V25" s="55">
        <f>IF(OR(U25="",T25=""),"",U25-T25)</f>
        <v>46358.0</v>
      </c>
      <c r="W25" s="40" t="inlineStr">
        <is>
          <t>Options Sent</t>
        </is>
      </c>
      <c r="X25" s="42" t="n"/>
      <c r="Y25" s="40" t="n"/>
      <c r="Z25" s="32" t="str">
        <f>IF(C25="","",IF(OR(W25="Ordered",W25="Received",W25="Installed"),"Ordered",IF(AND(I25&lt;&gt;"",J25&lt;&gt;"",L25&lt;&gt;"",R25&lt;&gt;"",T25&lt;&gt;"",X25&lt;&gt;""),"READY","Missing: "&amp;_xlfn.TEXTJOIN(", ",TRUE,IF(I25="","model",""),IF(J25="","finish",""),IF(L25="","qty",""),IF(R25="","supplier",""),IF(T25="","lead time",""),IF(X25="","approval","")))))</f>
        <v>Missing: model, finish, approval</v>
      </c>
      <c r="AA25" s="54" t="str">
        <f>IF(C25="","",IF(OR(W25="Ordered",W25="Received",W25="Installed"),"",IF(AND(G25&lt;&gt;"",X25="",G25&lt;TODAY()),"DECISION OVERDUE",IF(V25="","",IF(V25&lt;TODAY(),"ORDER OVERDUE",IF(V25-TODAY()&lt;=14,"ORDER SOON",""))))))</f>
        <v/>
      </c>
      <c r="AB25" s="35">
        <f>IF(Q25="","",IF(AND(X25="",Q25&gt;0),Q25,""))</f>
        <v>30</v>
      </c>
      <c r="AC25" s="59" t="inlineStr">
        <is>
          <t>Two options sent Sept. Client leaning toward the larger one.</t>
        </is>
      </c>
      <c r="AD25" s="59" t="n"/>
      <c r="AE25" s="60" t="str">
        <f>IF(AND(C25&lt;&gt;"",B25='Client Sign-Off'!$D$7),COUNTIFS($B$6:B25,'Client Sign-Off'!$D$7,$C$6:C25,"?*"),"")</f>
        <v/>
      </c>
    </row>
    <row r="26" ht="30" customHeight="1">
      <c r="A26" s="54">
        <f>IF(C26="","",ROW()-5)</f>
        <v>21</v>
      </c>
      <c r="B26" s="40" t="inlineStr">
        <is>
          <t>Whole House</t>
        </is>
      </c>
      <c r="C26" s="40" t="inlineStr">
        <is>
          <t>Switches and outlets</t>
        </is>
      </c>
      <c r="D26" s="40" t="inlineStr">
        <is>
          <t>Throughout</t>
        </is>
      </c>
      <c r="E26" s="40" t="inlineStr">
        <is>
          <t>Electrical Devices</t>
        </is>
      </c>
      <c r="F26" s="40" t="inlineStr">
        <is>
          <t>Before rough-in</t>
        </is>
      </c>
      <c r="G26" s="55">
        <f>IF(F26="","",IFERROR(IF(INDEX(Project!$C$24:$C$27,MATCH(F26,Project!$B$24:$B$27,0))="","",INDEX(Project!$C$24:$C$27,MATCH(F26,Project!$B$24:$B$27,0))),""))</f>
        <v>46307.0</v>
      </c>
      <c r="H26" s="40" t="inlineStr">
        <is>
          <t>Lutron / Leviton</t>
        </is>
      </c>
      <c r="I26" s="40" t="inlineStr">
        <is>
          <t>Decora (sample)</t>
        </is>
      </c>
      <c r="J26" s="40" t="inlineStr">
        <is>
          <t>White</t>
        </is>
      </c>
      <c r="K26" s="40" t="n"/>
      <c r="L26" s="56" t="n">
        <v>1</v>
      </c>
      <c r="M26" s="40" t="inlineStr">
        <is>
          <t>lot</t>
        </is>
      </c>
      <c r="N26" s="57" t="n">
        <v>1450</v>
      </c>
      <c r="O26" s="35">
        <f>IF(OR(L26="",N26=""),"",L26*N26)</f>
        <v>1450</v>
      </c>
      <c r="P26" s="43" t="n"/>
      <c r="Q26" s="36" t="str">
        <f>IF(OR(O26="",P26=""),"",O26-P26)</f>
        <v/>
      </c>
      <c r="R26" s="40" t="inlineStr">
        <is>
          <t>City Electric</t>
        </is>
      </c>
      <c r="S26" s="40" t="n"/>
      <c r="T26" s="58" t="n">
        <v>5</v>
      </c>
      <c r="U26" s="42">
        <f>TODAY()+65</f>
        <v>46351.0</v>
      </c>
      <c r="V26" s="55">
        <f>IF(OR(U26="",T26=""),"",U26-T26)</f>
        <v>46346.0</v>
      </c>
      <c r="W26" s="40" t="inlineStr">
        <is>
          <t>Approved</t>
        </is>
      </c>
      <c r="X26" s="42">
        <f>TODAY()-10</f>
        <v>46276.0</v>
      </c>
      <c r="Y26" s="40" t="inlineStr">
        <is>
          <t>J. Miller</t>
        </is>
      </c>
      <c r="Z26" s="32" t="str">
        <f>IF(C26="","",IF(OR(W26="Ordered",W26="Received",W26="Installed"),"Ordered",IF(AND(I26&lt;&gt;"",J26&lt;&gt;"",L26&lt;&gt;"",R26&lt;&gt;"",T26&lt;&gt;"",X26&lt;&gt;""),"READY","Missing: "&amp;_xlfn.TEXTJOIN(", ",TRUE,IF(I26="","model",""),IF(J26="","finish",""),IF(L26="","qty",""),IF(R26="","supplier",""),IF(T26="","lead time",""),IF(X26="","approval","")))))</f>
        <v>READY</v>
      </c>
      <c r="AA26" s="54" t="str">
        <f>IF(C26="","",IF(OR(W26="Ordered",W26="Received",W26="Installed"),"",IF(AND(G26&lt;&gt;"",X26="",G26&lt;TODAY()),"DECISION OVERDUE",IF(V26="","",IF(V26&lt;TODAY(),"ORDER OVERDUE",IF(V26-TODAY()&lt;=14,"ORDER SOON",""))))))</f>
        <v/>
      </c>
      <c r="AB26" s="35" t="str">
        <f>IF(Q26="","",IF(AND(X26="",Q26&gt;0),Q26,""))</f>
        <v/>
      </c>
      <c r="AC26" s="59" t="n"/>
      <c r="AD26" s="59" t="n"/>
      <c r="AE26" s="60" t="str">
        <f>IF(AND(C26&lt;&gt;"",B26='Client Sign-Off'!$D$7),COUNTIFS($B$6:B26,'Client Sign-Off'!$D$7,$C$6:C26,"?*"),"")</f>
        <v/>
      </c>
    </row>
    <row r="27" ht="30" customHeight="1">
      <c r="A27" s="54">
        <f>IF(C27="","",ROW()-5)</f>
        <v>22</v>
      </c>
      <c r="B27" s="40" t="inlineStr">
        <is>
          <t>Primary Bath</t>
        </is>
      </c>
      <c r="C27" s="40" t="inlineStr">
        <is>
          <t>Shower niche</t>
        </is>
      </c>
      <c r="D27" s="40" t="inlineStr">
        <is>
          <t>Shower, side wall</t>
        </is>
      </c>
      <c r="E27" s="40" t="inlineStr">
        <is>
          <t>Tile</t>
        </is>
      </c>
      <c r="F27" s="40" t="inlineStr">
        <is>
          <t>Before drywall</t>
        </is>
      </c>
      <c r="G27" s="55">
        <f>IF(F27="","",IFERROR(IF(INDEX(Project!$C$24:$C$27,MATCH(F27,Project!$B$24:$B$27,0))="","",INDEX(Project!$C$24:$C$27,MATCH(F27,Project!$B$24:$B$27,0))),""))</f>
        <v>46346.0</v>
      </c>
      <c r="H27" s="40" t="inlineStr">
        <is>
          <t>Schluter</t>
        </is>
      </c>
      <c r="I27" s="40" t="inlineStr">
        <is>
          <t>KERDI-BOARD-SN (sample)</t>
        </is>
      </c>
      <c r="J27" s="40" t="inlineStr">
        <is>
          <t>N/A</t>
        </is>
      </c>
      <c r="K27" s="40" t="inlineStr">
        <is>
          <t>12 x 28</t>
        </is>
      </c>
      <c r="L27" s="56" t="n">
        <v>1</v>
      </c>
      <c r="M27" s="40" t="inlineStr">
        <is>
          <t>ea</t>
        </is>
      </c>
      <c r="N27" s="57" t="n">
        <v>185</v>
      </c>
      <c r="O27" s="35">
        <f>IF(OR(L27="",N27=""),"",L27*N27)</f>
        <v>185</v>
      </c>
      <c r="P27" s="43" t="n"/>
      <c r="Q27" s="36" t="str">
        <f>IF(OR(O27="",P27=""),"",O27-P27)</f>
        <v/>
      </c>
      <c r="R27" s="40" t="inlineStr">
        <is>
          <t>Tile Outlet</t>
        </is>
      </c>
      <c r="S27" s="40" t="n"/>
      <c r="T27" s="58" t="n">
        <v>7</v>
      </c>
      <c r="U27" s="42">
        <f>TODAY()+45</f>
        <v>46331.0</v>
      </c>
      <c r="V27" s="55">
        <f>IF(OR(U27="",T27=""),"",U27-T27)</f>
        <v>46324.0</v>
      </c>
      <c r="W27" s="40" t="inlineStr">
        <is>
          <t>Approved</t>
        </is>
      </c>
      <c r="X27" s="42">
        <f>TODAY()-6</f>
        <v>46280.0</v>
      </c>
      <c r="Y27" s="40" t="inlineStr">
        <is>
          <t>J. Miller</t>
        </is>
      </c>
      <c r="Z27" s="32" t="str">
        <f>IF(C27="","",IF(OR(W27="Ordered",W27="Received",W27="Installed"),"Ordered",IF(AND(I27&lt;&gt;"",J27&lt;&gt;"",L27&lt;&gt;"",R27&lt;&gt;"",T27&lt;&gt;"",X27&lt;&gt;""),"READY","Missing: "&amp;_xlfn.TEXTJOIN(", ",TRUE,IF(I27="","model",""),IF(J27="","finish",""),IF(L27="","qty",""),IF(R27="","supplier",""),IF(T27="","lead time",""),IF(X27="","approval","")))))</f>
        <v>READY</v>
      </c>
      <c r="AA27" s="54" t="str">
        <f>IF(C27="","",IF(OR(W27="Ordered",W27="Received",W27="Installed"),"",IF(AND(G27&lt;&gt;"",X27="",G27&lt;TODAY()),"DECISION OVERDUE",IF(V27="","",IF(V27&lt;TODAY(),"ORDER OVERDUE",IF(V27-TODAY()&lt;=14,"ORDER SOON",""))))))</f>
        <v/>
      </c>
      <c r="AB27" s="35" t="str">
        <f>IF(Q27="","",IF(AND(X27="",Q27&gt;0),Q27,""))</f>
        <v/>
      </c>
      <c r="AC27" s="59" t="n"/>
      <c r="AD27" s="59" t="inlineStr">
        <is>
          <t>Height set to clear the valve.</t>
        </is>
      </c>
      <c r="AE27" s="60">
        <f>IF(AND(C27&lt;&gt;"",B27='Client Sign-Off'!$D$7),COUNTIFS($B$6:B27,'Client Sign-Off'!$D$7,$C$6:C27,"?*"),"")</f>
        <v>4</v>
      </c>
    </row>
    <row r="28" ht="30" customHeight="1">
      <c r="A28" s="54">
        <f>IF(C28="","",ROW()-5)</f>
        <v>23</v>
      </c>
      <c r="B28" s="40" t="inlineStr">
        <is>
          <t>Primary Bath</t>
        </is>
      </c>
      <c r="C28" s="40" t="inlineStr">
        <is>
          <t>Blocking, grab bar and glass</t>
        </is>
      </c>
      <c r="D28" s="40" t="inlineStr">
        <is>
          <t>Shower + toilet</t>
        </is>
      </c>
      <c r="E28" s="40" t="inlineStr">
        <is>
          <t>Other</t>
        </is>
      </c>
      <c r="F28" s="40" t="inlineStr">
        <is>
          <t>Before drywall</t>
        </is>
      </c>
      <c r="G28" s="55">
        <f>IF(F28="","",IFERROR(IF(INDEX(Project!$C$24:$C$27,MATCH(F28,Project!$B$24:$B$27,0))="","",INDEX(Project!$C$24:$C$27,MATCH(F28,Project!$B$24:$B$27,0))),""))</f>
        <v>46346.0</v>
      </c>
      <c r="H28" s="40" t="inlineStr">
        <is>
          <t>Framing crew</t>
        </is>
      </c>
      <c r="I28" s="40" t="inlineStr">
        <is>
          <t>2x10 blocking</t>
        </is>
      </c>
      <c r="J28" s="40" t="inlineStr">
        <is>
          <t>N/A</t>
        </is>
      </c>
      <c r="K28" s="40" t="n"/>
      <c r="L28" s="56" t="n">
        <v>1</v>
      </c>
      <c r="M28" s="40" t="inlineStr">
        <is>
          <t>lot</t>
        </is>
      </c>
      <c r="N28" s="57" t="n">
        <v>120</v>
      </c>
      <c r="O28" s="35">
        <f>IF(OR(L28="",N28=""),"",L28*N28)</f>
        <v>120</v>
      </c>
      <c r="P28" s="43" t="n"/>
      <c r="Q28" s="36" t="str">
        <f>IF(OR(O28="",P28=""),"",O28-P28)</f>
        <v/>
      </c>
      <c r="R28" s="40" t="inlineStr">
        <is>
          <t>Framing crew</t>
        </is>
      </c>
      <c r="S28" s="40" t="n"/>
      <c r="T28" s="58" t="n">
        <v>1</v>
      </c>
      <c r="U28" s="42">
        <f>TODAY()+40</f>
        <v>46326.0</v>
      </c>
      <c r="V28" s="55">
        <f>IF(OR(U28="",T28=""),"",U28-T28)</f>
        <v>46325.0</v>
      </c>
      <c r="W28" s="40" t="inlineStr">
        <is>
          <t>Approved</t>
        </is>
      </c>
      <c r="X28" s="42">
        <f>TODAY()-6</f>
        <v>46280.0</v>
      </c>
      <c r="Y28" s="40" t="inlineStr">
        <is>
          <t>J. Miller</t>
        </is>
      </c>
      <c r="Z28" s="32" t="str">
        <f>IF(C28="","",IF(OR(W28="Ordered",W28="Received",W28="Installed"),"Ordered",IF(AND(I28&lt;&gt;"",J28&lt;&gt;"",L28&lt;&gt;"",R28&lt;&gt;"",T28&lt;&gt;"",X28&lt;&gt;""),"READY","Missing: "&amp;_xlfn.TEXTJOIN(", ",TRUE,IF(I28="","model",""),IF(J28="","finish",""),IF(L28="","qty",""),IF(R28="","supplier",""),IF(T28="","lead time",""),IF(X28="","approval","")))))</f>
        <v>READY</v>
      </c>
      <c r="AA28" s="54" t="str">
        <f>IF(C28="","",IF(OR(W28="Ordered",W28="Received",W28="Installed"),"",IF(AND(G28&lt;&gt;"",X28="",G28&lt;TODAY()),"DECISION OVERDUE",IF(V28="","",IF(V28&lt;TODAY(),"ORDER OVERDUE",IF(V28-TODAY()&lt;=14,"ORDER SOON",""))))))</f>
        <v/>
      </c>
      <c r="AB28" s="35" t="str">
        <f>IF(Q28="","",IF(AND(X28="",Q28&gt;0),Q28,""))</f>
        <v/>
      </c>
      <c r="AC28" s="59" t="n"/>
      <c r="AD28" s="59" t="inlineStr">
        <is>
          <t>Photograph before drywall.</t>
        </is>
      </c>
      <c r="AE28" s="60">
        <f>IF(AND(C28&lt;&gt;"",B28='Client Sign-Off'!$D$7),COUNTIFS($B$6:B28,'Client Sign-Off'!$D$7,$C$6:C28,"?*"),"")</f>
        <v>5</v>
      </c>
    </row>
    <row r="29" ht="30" customHeight="1">
      <c r="A29" s="54">
        <f>IF(C29="","",ROW()-5)</f>
        <v>24</v>
      </c>
      <c r="B29" s="40" t="inlineStr">
        <is>
          <t>Powder Room</t>
        </is>
      </c>
      <c r="C29" s="40" t="inlineStr">
        <is>
          <t>Floating vanity</t>
        </is>
      </c>
      <c r="D29" s="40" t="inlineStr">
        <is>
          <t>Powder room</t>
        </is>
      </c>
      <c r="E29" s="40" t="inlineStr">
        <is>
          <t>Cabinetry</t>
        </is>
      </c>
      <c r="F29" s="40" t="inlineStr">
        <is>
          <t>Before drywall</t>
        </is>
      </c>
      <c r="G29" s="55">
        <f>IF(F29="","",IFERROR(IF(INDEX(Project!$C$24:$C$27,MATCH(F29,Project!$B$24:$B$27,0))="","",INDEX(Project!$C$24:$C$27,MATCH(F29,Project!$B$24:$B$27,0))),""))</f>
        <v>46346.0</v>
      </c>
      <c r="H29" s="40" t="inlineStr">
        <is>
          <t>Local cabinet shop</t>
        </is>
      </c>
      <c r="I29" s="40" t="inlineStr">
        <is>
          <t>Floating, 1 drawer</t>
        </is>
      </c>
      <c r="J29" s="40" t="inlineStr">
        <is>
          <t>Walnut</t>
        </is>
      </c>
      <c r="K29" s="40" t="inlineStr">
        <is>
          <t>36 in</t>
        </is>
      </c>
      <c r="L29" s="56" t="n">
        <v>1</v>
      </c>
      <c r="M29" s="40" t="inlineStr">
        <is>
          <t>ea</t>
        </is>
      </c>
      <c r="N29" s="57" t="n">
        <v>2100</v>
      </c>
      <c r="O29" s="35">
        <f>IF(OR(L29="",N29=""),"",L29*N29)</f>
        <v>2100</v>
      </c>
      <c r="P29" s="43" t="n">
        <v>1800</v>
      </c>
      <c r="Q29" s="36">
        <f>IF(OR(O29="",P29=""),"",O29-P29)</f>
        <v>300</v>
      </c>
      <c r="R29" s="40" t="inlineStr">
        <is>
          <t>Carolina Cabinetry</t>
        </is>
      </c>
      <c r="S29" s="40" t="n"/>
      <c r="T29" s="58" t="n">
        <v>42</v>
      </c>
      <c r="U29" s="42">
        <f>TODAY()+100</f>
        <v>46386.0</v>
      </c>
      <c r="V29" s="55">
        <f>IF(OR(U29="",T29=""),"",U29-T29)</f>
        <v>46344.0</v>
      </c>
      <c r="W29" s="40" t="inlineStr">
        <is>
          <t>Selected</t>
        </is>
      </c>
      <c r="X29" s="42" t="n"/>
      <c r="Y29" s="40" t="n"/>
      <c r="Z29" s="32" t="str">
        <f>IF(C29="","",IF(OR(W29="Ordered",W29="Received",W29="Installed"),"Ordered",IF(AND(I29&lt;&gt;"",J29&lt;&gt;"",L29&lt;&gt;"",R29&lt;&gt;"",T29&lt;&gt;"",X29&lt;&gt;""),"READY","Missing: "&amp;_xlfn.TEXTJOIN(", ",TRUE,IF(I29="","model",""),IF(J29="","finish",""),IF(L29="","qty",""),IF(R29="","supplier",""),IF(T29="","lead time",""),IF(X29="","approval","")))))</f>
        <v>Missing: approval</v>
      </c>
      <c r="AA29" s="54" t="str">
        <f>IF(C29="","",IF(OR(W29="Ordered",W29="Received",W29="Installed"),"",IF(AND(G29&lt;&gt;"",X29="",G29&lt;TODAY()),"DECISION OVERDUE",IF(V29="","",IF(V29&lt;TODAY(),"ORDER OVERDUE",IF(V29-TODAY()&lt;=14,"ORDER SOON",""))))))</f>
        <v/>
      </c>
      <c r="AB29" s="35">
        <f>IF(Q29="","",IF(AND(X29="",Q29&gt;0),Q29,""))</f>
        <v>300</v>
      </c>
      <c r="AC29" s="59" t="n"/>
      <c r="AD29" s="59" t="inlineStr">
        <is>
          <t>$300 over. Needs signature.</t>
        </is>
      </c>
      <c r="AE29" s="60" t="str">
        <f>IF(AND(C29&lt;&gt;"",B29='Client Sign-Off'!$D$7),COUNTIFS($B$6:B29,'Client Sign-Off'!$D$7,$C$6:C29,"?*"),"")</f>
        <v/>
      </c>
    </row>
    <row r="30" ht="30" customHeight="1">
      <c r="A30" s="54">
        <f>IF(C30="","",ROW()-5)</f>
        <v>25</v>
      </c>
      <c r="B30" s="40" t="inlineStr">
        <is>
          <t>Office</t>
        </is>
      </c>
      <c r="C30" s="40" t="inlineStr">
        <is>
          <t>Low voltage and data</t>
        </is>
      </c>
      <c r="D30" s="40" t="inlineStr">
        <is>
          <t>Office + great room</t>
        </is>
      </c>
      <c r="E30" s="40" t="inlineStr">
        <is>
          <t>Electrical Devices</t>
        </is>
      </c>
      <c r="F30" s="40" t="inlineStr">
        <is>
          <t>Before rough-in</t>
        </is>
      </c>
      <c r="G30" s="55">
        <f>IF(F30="","",IFERROR(IF(INDEX(Project!$C$24:$C$27,MATCH(F30,Project!$B$24:$B$27,0))="","",INDEX(Project!$C$24:$C$27,MATCH(F30,Project!$B$24:$B$27,0))),""))</f>
        <v>46307.0</v>
      </c>
      <c r="H30" s="40" t="inlineStr">
        <is>
          <t>Local LV sub</t>
        </is>
      </c>
      <c r="I30" s="40" t="inlineStr">
        <is>
          <t>Cat6 + coax (sample)</t>
        </is>
      </c>
      <c r="J30" s="40" t="inlineStr">
        <is>
          <t>N/A</t>
        </is>
      </c>
      <c r="K30" s="40" t="n"/>
      <c r="L30" s="56" t="n">
        <v>1</v>
      </c>
      <c r="M30" s="40" t="inlineStr">
        <is>
          <t>lot</t>
        </is>
      </c>
      <c r="N30" s="57" t="n">
        <v>650</v>
      </c>
      <c r="O30" s="35">
        <f>IF(OR(L30="",N30=""),"",L30*N30)</f>
        <v>650</v>
      </c>
      <c r="P30" s="43" t="n"/>
      <c r="Q30" s="36" t="str">
        <f>IF(OR(O30="",P30=""),"",O30-P30)</f>
        <v/>
      </c>
      <c r="R30" s="40" t="inlineStr">
        <is>
          <t>Local LV sub</t>
        </is>
      </c>
      <c r="S30" s="40" t="n"/>
      <c r="T30" s="58" t="n">
        <v>3</v>
      </c>
      <c r="U30" s="42">
        <f>TODAY()+25</f>
        <v>46311.0</v>
      </c>
      <c r="V30" s="55">
        <f>IF(OR(U30="",T30=""),"",U30-T30)</f>
        <v>46308.0</v>
      </c>
      <c r="W30" s="40" t="inlineStr">
        <is>
          <t>Approved</t>
        </is>
      </c>
      <c r="X30" s="42">
        <f>TODAY()-10</f>
        <v>46276.0</v>
      </c>
      <c r="Y30" s="40" t="inlineStr">
        <is>
          <t>C. Miller</t>
        </is>
      </c>
      <c r="Z30" s="32" t="str">
        <f>IF(C30="","",IF(OR(W30="Ordered",W30="Received",W30="Installed"),"Ordered",IF(AND(I30&lt;&gt;"",J30&lt;&gt;"",L30&lt;&gt;"",R30&lt;&gt;"",T30&lt;&gt;"",X30&lt;&gt;""),"READY","Missing: "&amp;_xlfn.TEXTJOIN(", ",TRUE,IF(I30="","model",""),IF(J30="","finish",""),IF(L30="","qty",""),IF(R30="","supplier",""),IF(T30="","lead time",""),IF(X30="","approval","")))))</f>
        <v>READY</v>
      </c>
      <c r="AA30" s="54" t="str">
        <f>IF(C30="","",IF(OR(W30="Ordered",W30="Received",W30="Installed"),"",IF(AND(G30&lt;&gt;"",X30="",G30&lt;TODAY()),"DECISION OVERDUE",IF(V30="","",IF(V30&lt;TODAY(),"ORDER OVERDUE",IF(V30-TODAY()&lt;=14,"ORDER SOON",""))))))</f>
        <v/>
      </c>
      <c r="AB30" s="35" t="str">
        <f>IF(Q30="","",IF(AND(X30="",Q30&gt;0),Q30,""))</f>
        <v/>
      </c>
      <c r="AC30" s="59" t="n"/>
      <c r="AD30" s="59" t="n"/>
      <c r="AE30" s="60" t="str">
        <f>IF(AND(C30&lt;&gt;"",B30='Client Sign-Off'!$D$7),COUNTIFS($B$6:B30,'Client Sign-Off'!$D$7,$C$6:C30,"?*"),"")</f>
        <v/>
      </c>
    </row>
    <row r="31" ht="30" customHeight="1">
      <c r="A31" s="54">
        <f>IF(C31="","",ROW()-5)</f>
        <v>26</v>
      </c>
      <c r="B31" s="40" t="inlineStr">
        <is>
          <t>Primary Bath</t>
        </is>
      </c>
      <c r="C31" s="40" t="inlineStr">
        <is>
          <t>Floor tile</t>
        </is>
      </c>
      <c r="D31" s="40" t="inlineStr">
        <is>
          <t>Bath floor</t>
        </is>
      </c>
      <c r="E31" s="40" t="inlineStr">
        <is>
          <t>Tile</t>
        </is>
      </c>
      <c r="F31" s="40" t="inlineStr">
        <is>
          <t>Before drywall</t>
        </is>
      </c>
      <c r="G31" s="55">
        <f>IF(F31="","",IFERROR(IF(INDEX(Project!$C$24:$C$27,MATCH(F31,Project!$B$24:$B$27,0))="","",INDEX(Project!$C$24:$C$27,MATCH(F31,Project!$B$24:$B$27,0))),""))</f>
        <v>46346.0</v>
      </c>
      <c r="H31" s="40" t="inlineStr">
        <is>
          <t>Daltile</t>
        </is>
      </c>
      <c r="I31" s="40" t="inlineStr">
        <is>
          <t>12x24 porcelain (sample)</t>
        </is>
      </c>
      <c r="J31" s="40" t="inlineStr">
        <is>
          <t>Matte Ash</t>
        </is>
      </c>
      <c r="K31" s="40" t="inlineStr">
        <is>
          <t>12 x 24</t>
        </is>
      </c>
      <c r="L31" s="56" t="n">
        <v>120</v>
      </c>
      <c r="M31" s="40" t="inlineStr">
        <is>
          <t>sf</t>
        </is>
      </c>
      <c r="N31" s="57" t="n">
        <v>9.5</v>
      </c>
      <c r="O31" s="35">
        <f>IF(OR(L31="",N31=""),"",L31*N31)</f>
        <v>1140</v>
      </c>
      <c r="P31" s="43" t="n">
        <v>960</v>
      </c>
      <c r="Q31" s="36">
        <f>IF(OR(O31="",P31=""),"",O31-P31)</f>
        <v>180</v>
      </c>
      <c r="R31" s="40" t="inlineStr">
        <is>
          <t>Tile Outlet</t>
        </is>
      </c>
      <c r="S31" s="40" t="n"/>
      <c r="T31" s="58" t="n">
        <v>21</v>
      </c>
      <c r="U31" s="42">
        <f>TODAY()+70</f>
        <v>46356.0</v>
      </c>
      <c r="V31" s="55">
        <f>IF(OR(U31="",T31=""),"",U31-T31)</f>
        <v>46335.0</v>
      </c>
      <c r="W31" s="40" t="inlineStr">
        <is>
          <t>Approved</t>
        </is>
      </c>
      <c r="X31" s="42">
        <f>TODAY()-5</f>
        <v>46281.0</v>
      </c>
      <c r="Y31" s="40" t="inlineStr">
        <is>
          <t>J. Miller</t>
        </is>
      </c>
      <c r="Z31" s="32" t="str">
        <f>IF(C31="","",IF(OR(W31="Ordered",W31="Received",W31="Installed"),"Ordered",IF(AND(I31&lt;&gt;"",J31&lt;&gt;"",L31&lt;&gt;"",R31&lt;&gt;"",T31&lt;&gt;"",X31&lt;&gt;""),"READY","Missing: "&amp;_xlfn.TEXTJOIN(", ",TRUE,IF(I31="","model",""),IF(J31="","finish",""),IF(L31="","qty",""),IF(R31="","supplier",""),IF(T31="","lead time",""),IF(X31="","approval","")))))</f>
        <v>READY</v>
      </c>
      <c r="AA31" s="54" t="str">
        <f>IF(C31="","",IF(OR(W31="Ordered",W31="Received",W31="Installed"),"",IF(AND(G31&lt;&gt;"",X31="",G31&lt;TODAY()),"DECISION OVERDUE",IF(V31="","",IF(V31&lt;TODAY(),"ORDER OVERDUE",IF(V31-TODAY()&lt;=14,"ORDER SOON",""))))))</f>
        <v/>
      </c>
      <c r="AB31" s="35" t="str">
        <f>IF(Q31="","",IF(AND(X31="",Q31&gt;0),Q31,""))</f>
        <v/>
      </c>
      <c r="AC31" s="59" t="n"/>
      <c r="AD31" s="59" t="inlineStr">
        <is>
          <t>Add 10% waste to the order, not the allowance math.</t>
        </is>
      </c>
      <c r="AE31" s="60">
        <f>IF(AND(C31&lt;&gt;"",B31='Client Sign-Off'!$D$7),COUNTIFS($B$6:B31,'Client Sign-Off'!$D$7,$C$6:C31,"?*"),"")</f>
        <v>6</v>
      </c>
    </row>
    <row r="32" ht="30" customHeight="1">
      <c r="A32" s="54">
        <f>IF(C32="","",ROW()-5)</f>
        <v>27</v>
      </c>
      <c r="B32" s="40" t="inlineStr">
        <is>
          <t>Primary Bath</t>
        </is>
      </c>
      <c r="C32" s="40" t="inlineStr">
        <is>
          <t>Shower wall tile</t>
        </is>
      </c>
      <c r="D32" s="40" t="inlineStr">
        <is>
          <t>Shower walls</t>
        </is>
      </c>
      <c r="E32" s="40" t="inlineStr">
        <is>
          <t>Tile</t>
        </is>
      </c>
      <c r="F32" s="40" t="inlineStr">
        <is>
          <t>Before drywall</t>
        </is>
      </c>
      <c r="G32" s="55">
        <f>IF(F32="","",IFERROR(IF(INDEX(Project!$C$24:$C$27,MATCH(F32,Project!$B$24:$B$27,0))="","",INDEX(Project!$C$24:$C$27,MATCH(F32,Project!$B$24:$B$27,0))),""))</f>
        <v>46346.0</v>
      </c>
      <c r="H32" s="40" t="inlineStr">
        <is>
          <t>Daltile</t>
        </is>
      </c>
      <c r="I32" s="40" t="inlineStr">
        <is>
          <t>3x12 ceramic (sample)</t>
        </is>
      </c>
      <c r="J32" s="40" t="inlineStr">
        <is>
          <t>Gloss White</t>
        </is>
      </c>
      <c r="K32" s="40" t="inlineStr">
        <is>
          <t>3 x 12</t>
        </is>
      </c>
      <c r="L32" s="56" t="n">
        <v>180</v>
      </c>
      <c r="M32" s="40" t="inlineStr">
        <is>
          <t>sf</t>
        </is>
      </c>
      <c r="N32" s="57" t="n">
        <v>7.25</v>
      </c>
      <c r="O32" s="35">
        <f>IF(OR(L32="",N32=""),"",L32*N32)</f>
        <v>1305</v>
      </c>
      <c r="P32" s="43" t="n">
        <v>1440</v>
      </c>
      <c r="Q32" s="36">
        <f>IF(OR(O32="",P32=""),"",O32-P32)</f>
        <v>-135</v>
      </c>
      <c r="R32" s="40" t="inlineStr">
        <is>
          <t>Tile Outlet</t>
        </is>
      </c>
      <c r="S32" s="40" t="n"/>
      <c r="T32" s="58" t="n">
        <v>21</v>
      </c>
      <c r="U32" s="42">
        <f>TODAY()+70</f>
        <v>46356.0</v>
      </c>
      <c r="V32" s="55">
        <f>IF(OR(U32="",T32=""),"",U32-T32)</f>
        <v>46335.0</v>
      </c>
      <c r="W32" s="40" t="inlineStr">
        <is>
          <t>Approved</t>
        </is>
      </c>
      <c r="X32" s="42">
        <f>TODAY()-5</f>
        <v>46281.0</v>
      </c>
      <c r="Y32" s="40" t="inlineStr">
        <is>
          <t>J. Miller</t>
        </is>
      </c>
      <c r="Z32" s="32" t="str">
        <f>IF(C32="","",IF(OR(W32="Ordered",W32="Received",W32="Installed"),"Ordered",IF(AND(I32&lt;&gt;"",J32&lt;&gt;"",L32&lt;&gt;"",R32&lt;&gt;"",T32&lt;&gt;"",X32&lt;&gt;""),"READY","Missing: "&amp;_xlfn.TEXTJOIN(", ",TRUE,IF(I32="","model",""),IF(J32="","finish",""),IF(L32="","qty",""),IF(R32="","supplier",""),IF(T32="","lead time",""),IF(X32="","approval","")))))</f>
        <v>READY</v>
      </c>
      <c r="AA32" s="54" t="str">
        <f>IF(C32="","",IF(OR(W32="Ordered",W32="Received",W32="Installed"),"",IF(AND(G32&lt;&gt;"",X32="",G32&lt;TODAY()),"DECISION OVERDUE",IF(V32="","",IF(V32&lt;TODAY(),"ORDER OVERDUE",IF(V32-TODAY()&lt;=14,"ORDER SOON",""))))))</f>
        <v/>
      </c>
      <c r="AB32" s="35" t="str">
        <f>IF(Q32="","",IF(AND(X32="",Q32&gt;0),Q32,""))</f>
        <v/>
      </c>
      <c r="AC32" s="59" t="n"/>
      <c r="AD32" s="59" t="n"/>
      <c r="AE32" s="60">
        <f>IF(AND(C32&lt;&gt;"",B32='Client Sign-Off'!$D$7),COUNTIFS($B$6:B32,'Client Sign-Off'!$D$7,$C$6:C32,"?*"),"")</f>
        <v>7</v>
      </c>
    </row>
    <row r="33" ht="30" customHeight="1">
      <c r="A33" s="54">
        <f>IF(C33="","",ROW()-5)</f>
        <v>28</v>
      </c>
      <c r="B33" s="40" t="inlineStr">
        <is>
          <t>Kitchen</t>
        </is>
      </c>
      <c r="C33" s="40" t="inlineStr">
        <is>
          <t>Backsplash</t>
        </is>
      </c>
      <c r="D33" s="40" t="inlineStr">
        <is>
          <t>Range wall + sink wall</t>
        </is>
      </c>
      <c r="E33" s="40" t="inlineStr">
        <is>
          <t>Tile</t>
        </is>
      </c>
      <c r="F33" s="40" t="inlineStr">
        <is>
          <t>Before install</t>
        </is>
      </c>
      <c r="G33" s="55">
        <f>IF(F33="","",IFERROR(IF(INDEX(Project!$C$24:$C$27,MATCH(F33,Project!$B$24:$B$27,0))="","",INDEX(Project!$C$24:$C$27,MATCH(F33,Project!$B$24:$B$27,0))),""))</f>
        <v>46396.0</v>
      </c>
      <c r="H33" s="40" t="inlineStr">
        <is>
          <t>Bedrosians</t>
        </is>
      </c>
      <c r="I33" s="40" t="inlineStr">
        <is>
          <t>Zellige 4x4 (sample)</t>
        </is>
      </c>
      <c r="J33" s="40" t="inlineStr">
        <is>
          <t>Sage</t>
        </is>
      </c>
      <c r="K33" s="40" t="inlineStr">
        <is>
          <t>4 x 4</t>
        </is>
      </c>
      <c r="L33" s="56" t="n">
        <v>38</v>
      </c>
      <c r="M33" s="40" t="inlineStr">
        <is>
          <t>sf</t>
        </is>
      </c>
      <c r="N33" s="57" t="n">
        <v>14</v>
      </c>
      <c r="O33" s="35">
        <f>IF(OR(L33="",N33=""),"",L33*N33)</f>
        <v>532</v>
      </c>
      <c r="P33" s="43" t="n">
        <v>380</v>
      </c>
      <c r="Q33" s="36">
        <f>IF(OR(O33="",P33=""),"",O33-P33)</f>
        <v>152</v>
      </c>
      <c r="R33" s="40" t="inlineStr">
        <is>
          <t>Tile Outlet</t>
        </is>
      </c>
      <c r="S33" s="40" t="n"/>
      <c r="T33" s="58" t="n">
        <v>21</v>
      </c>
      <c r="U33" s="42">
        <f>TODAY()+95</f>
        <v>46381.0</v>
      </c>
      <c r="V33" s="55">
        <f>IF(OR(U33="",T33=""),"",U33-T33)</f>
        <v>46360.0</v>
      </c>
      <c r="W33" s="40" t="inlineStr">
        <is>
          <t>Approved</t>
        </is>
      </c>
      <c r="X33" s="42">
        <f>TODAY()-4</f>
        <v>46282.0</v>
      </c>
      <c r="Y33" s="40" t="inlineStr">
        <is>
          <t>C. Miller</t>
        </is>
      </c>
      <c r="Z33" s="32" t="str">
        <f>IF(C33="","",IF(OR(W33="Ordered",W33="Received",W33="Installed"),"Ordered",IF(AND(I33&lt;&gt;"",J33&lt;&gt;"",L33&lt;&gt;"",R33&lt;&gt;"",T33&lt;&gt;"",X33&lt;&gt;""),"READY","Missing: "&amp;_xlfn.TEXTJOIN(", ",TRUE,IF(I33="","model",""),IF(J33="","finish",""),IF(L33="","qty",""),IF(R33="","supplier",""),IF(T33="","lead time",""),IF(X33="","approval","")))))</f>
        <v>READY</v>
      </c>
      <c r="AA33" s="54" t="str">
        <f>IF(C33="","",IF(OR(W33="Ordered",W33="Received",W33="Installed"),"",IF(AND(G33&lt;&gt;"",X33="",G33&lt;TODAY()),"DECISION OVERDUE",IF(V33="","",IF(V33&lt;TODAY(),"ORDER OVERDUE",IF(V33-TODAY()&lt;=14,"ORDER SOON",""))))))</f>
        <v/>
      </c>
      <c r="AB33" s="35" t="str">
        <f>IF(Q33="","",IF(AND(X33="",Q33&gt;0),Q33,""))</f>
        <v/>
      </c>
      <c r="AC33" s="59" t="n"/>
      <c r="AD33" s="59" t="n"/>
      <c r="AE33" s="60" t="str">
        <f>IF(AND(C33&lt;&gt;"",B33='Client Sign-Off'!$D$7),COUNTIFS($B$6:B33,'Client Sign-Off'!$D$7,$C$6:C33,"?*"),"")</f>
        <v/>
      </c>
    </row>
    <row r="34" ht="30" customHeight="1">
      <c r="A34" s="54">
        <f>IF(C34="","",ROW()-5)</f>
        <v>29</v>
      </c>
      <c r="B34" s="40" t="inlineStr">
        <is>
          <t>Guest Bath</t>
        </is>
      </c>
      <c r="C34" s="40" t="inlineStr">
        <is>
          <t>Floor tile</t>
        </is>
      </c>
      <c r="D34" s="40" t="inlineStr">
        <is>
          <t>Bath floor</t>
        </is>
      </c>
      <c r="E34" s="40" t="inlineStr">
        <is>
          <t>Tile</t>
        </is>
      </c>
      <c r="F34" s="40" t="inlineStr">
        <is>
          <t>Before drywall</t>
        </is>
      </c>
      <c r="G34" s="55">
        <f>IF(F34="","",IFERROR(IF(INDEX(Project!$C$24:$C$27,MATCH(F34,Project!$B$24:$B$27,0))="","",INDEX(Project!$C$24:$C$27,MATCH(F34,Project!$B$24:$B$27,0))),""))</f>
        <v>46346.0</v>
      </c>
      <c r="H34" s="40" t="inlineStr">
        <is>
          <t>Daltile</t>
        </is>
      </c>
      <c r="I34" s="40" t="n"/>
      <c r="J34" s="40" t="n"/>
      <c r="K34" s="40" t="n"/>
      <c r="L34" s="56" t="n">
        <v>55</v>
      </c>
      <c r="M34" s="40" t="inlineStr">
        <is>
          <t>sf</t>
        </is>
      </c>
      <c r="N34" s="57" t="n">
        <v>6.5</v>
      </c>
      <c r="O34" s="35">
        <f>IF(OR(L34="",N34=""),"",L34*N34)</f>
        <v>357.5</v>
      </c>
      <c r="P34" s="43" t="n">
        <v>440</v>
      </c>
      <c r="Q34" s="36">
        <f>IF(OR(O34="",P34=""),"",O34-P34)</f>
        <v>-82.5</v>
      </c>
      <c r="R34" s="40" t="inlineStr">
        <is>
          <t>Tile Outlet</t>
        </is>
      </c>
      <c r="S34" s="40" t="n"/>
      <c r="T34" s="58" t="n">
        <v>21</v>
      </c>
      <c r="U34" s="42">
        <f>TODAY()+72</f>
        <v>46358.0</v>
      </c>
      <c r="V34" s="55">
        <f>IF(OR(U34="",T34=""),"",U34-T34)</f>
        <v>46337.0</v>
      </c>
      <c r="W34" s="40" t="inlineStr">
        <is>
          <t>Pending</t>
        </is>
      </c>
      <c r="X34" s="42" t="n"/>
      <c r="Y34" s="40" t="n"/>
      <c r="Z34" s="32" t="str">
        <f>IF(C34="","",IF(OR(W34="Ordered",W34="Received",W34="Installed"),"Ordered",IF(AND(I34&lt;&gt;"",J34&lt;&gt;"",L34&lt;&gt;"",R34&lt;&gt;"",T34&lt;&gt;"",X34&lt;&gt;""),"READY","Missing: "&amp;_xlfn.TEXTJOIN(", ",TRUE,IF(I34="","model",""),IF(J34="","finish",""),IF(L34="","qty",""),IF(R34="","supplier",""),IF(T34="","lead time",""),IF(X34="","approval","")))))</f>
        <v>Missing: model, finish, approval</v>
      </c>
      <c r="AA34" s="54" t="str">
        <f>IF(C34="","",IF(OR(W34="Ordered",W34="Received",W34="Installed"),"",IF(AND(G34&lt;&gt;"",X34="",G34&lt;TODAY()),"DECISION OVERDUE",IF(V34="","",IF(V34&lt;TODAY(),"ORDER OVERDUE",IF(V34-TODAY()&lt;=14,"ORDER SOON",""))))))</f>
        <v/>
      </c>
      <c r="AB34" s="35" t="str">
        <f>IF(Q34="","",IF(AND(X34="",Q34&gt;0),Q34,""))</f>
        <v/>
      </c>
      <c r="AC34" s="59" t="n"/>
      <c r="AD34" s="59" t="inlineStr">
        <is>
          <t>Samples dropped off. Waiting on client.</t>
        </is>
      </c>
      <c r="AE34" s="60" t="str">
        <f>IF(AND(C34&lt;&gt;"",B34='Client Sign-Off'!$D$7),COUNTIFS($B$6:B34,'Client Sign-Off'!$D$7,$C$6:C34,"?*"),"")</f>
        <v/>
      </c>
    </row>
    <row r="35" ht="30" customHeight="1">
      <c r="A35" s="54">
        <f>IF(C35="","",ROW()-5)</f>
        <v>30</v>
      </c>
      <c r="B35" s="40" t="inlineStr">
        <is>
          <t>Kitchen</t>
        </is>
      </c>
      <c r="C35" s="40" t="inlineStr">
        <is>
          <t>Quartz countertops</t>
        </is>
      </c>
      <c r="D35" s="40" t="inlineStr">
        <is>
          <t>Perimeter + island</t>
        </is>
      </c>
      <c r="E35" s="40" t="inlineStr">
        <is>
          <t>Countertops</t>
        </is>
      </c>
      <c r="F35" s="40" t="inlineStr">
        <is>
          <t>Before install</t>
        </is>
      </c>
      <c r="G35" s="55">
        <f>IF(F35="","",IFERROR(IF(INDEX(Project!$C$24:$C$27,MATCH(F35,Project!$B$24:$B$27,0))="","",INDEX(Project!$C$24:$C$27,MATCH(F35,Project!$B$24:$B$27,0))),""))</f>
        <v>46396.0</v>
      </c>
      <c r="H35" s="40" t="inlineStr">
        <is>
          <t>Cambria</t>
        </is>
      </c>
      <c r="I35" s="40" t="inlineStr">
        <is>
          <t>Brittanicca (sample)</t>
        </is>
      </c>
      <c r="J35" s="40" t="inlineStr">
        <is>
          <t>Polished, 3 cm</t>
        </is>
      </c>
      <c r="K35" s="40" t="n"/>
      <c r="L35" s="56" t="n">
        <v>62</v>
      </c>
      <c r="M35" s="40" t="inlineStr">
        <is>
          <t>sf</t>
        </is>
      </c>
      <c r="N35" s="57" t="n">
        <v>88</v>
      </c>
      <c r="O35" s="35">
        <f>IF(OR(L35="",N35=""),"",L35*N35)</f>
        <v>5456</v>
      </c>
      <c r="P35" s="43" t="n">
        <v>4960</v>
      </c>
      <c r="Q35" s="36">
        <f>IF(OR(O35="",P35=""),"",O35-P35)</f>
        <v>496</v>
      </c>
      <c r="R35" s="40" t="inlineStr">
        <is>
          <t>Stone Fabricators</t>
        </is>
      </c>
      <c r="S35" s="40" t="n"/>
      <c r="T35" s="58" t="n">
        <v>14</v>
      </c>
      <c r="U35" s="42">
        <f>TODAY()+95</f>
        <v>46381.0</v>
      </c>
      <c r="V35" s="55">
        <f>IF(OR(U35="",T35=""),"",U35-T35)</f>
        <v>46367.0</v>
      </c>
      <c r="W35" s="40" t="inlineStr">
        <is>
          <t>Approved</t>
        </is>
      </c>
      <c r="X35" s="42">
        <f>TODAY()-4</f>
        <v>46282.0</v>
      </c>
      <c r="Y35" s="40" t="inlineStr">
        <is>
          <t>J. Miller</t>
        </is>
      </c>
      <c r="Z35" s="32" t="str">
        <f>IF(C35="","",IF(OR(W35="Ordered",W35="Received",W35="Installed"),"Ordered",IF(AND(I35&lt;&gt;"",J35&lt;&gt;"",L35&lt;&gt;"",R35&lt;&gt;"",T35&lt;&gt;"",X35&lt;&gt;""),"READY","Missing: "&amp;_xlfn.TEXTJOIN(", ",TRUE,IF(I35="","model",""),IF(J35="","finish",""),IF(L35="","qty",""),IF(R35="","supplier",""),IF(T35="","lead time",""),IF(X35="","approval","")))))</f>
        <v>READY</v>
      </c>
      <c r="AA35" s="54" t="str">
        <f>IF(C35="","",IF(OR(W35="Ordered",W35="Received",W35="Installed"),"",IF(AND(G35&lt;&gt;"",X35="",G35&lt;TODAY()),"DECISION OVERDUE",IF(V35="","",IF(V35&lt;TODAY(),"ORDER OVERDUE",IF(V35-TODAY()&lt;=14,"ORDER SOON",""))))))</f>
        <v/>
      </c>
      <c r="AB35" s="35" t="str">
        <f>IF(Q35="","",IF(AND(X35="",Q35&gt;0),Q35,""))</f>
        <v/>
      </c>
      <c r="AC35" s="59" t="n"/>
      <c r="AD35" s="59" t="inlineStr">
        <is>
          <t>Template after cabinets set.</t>
        </is>
      </c>
      <c r="AE35" s="60" t="str">
        <f>IF(AND(C35&lt;&gt;"",B35='Client Sign-Off'!$D$7),COUNTIFS($B$6:B35,'Client Sign-Off'!$D$7,$C$6:C35,"?*"),"")</f>
        <v/>
      </c>
    </row>
    <row r="36" ht="30" customHeight="1">
      <c r="A36" s="54">
        <f>IF(C36="","",ROW()-5)</f>
        <v>31</v>
      </c>
      <c r="B36" s="40" t="inlineStr">
        <is>
          <t>Kitchen</t>
        </is>
      </c>
      <c r="C36" s="40" t="inlineStr">
        <is>
          <t>Cabinet pulls</t>
        </is>
      </c>
      <c r="D36" s="40" t="inlineStr">
        <is>
          <t>Kitchen + island</t>
        </is>
      </c>
      <c r="E36" s="40" t="inlineStr">
        <is>
          <t>Cabinet Hardware</t>
        </is>
      </c>
      <c r="F36" s="40" t="inlineStr">
        <is>
          <t>Before install</t>
        </is>
      </c>
      <c r="G36" s="55">
        <f>IF(F36="","",IFERROR(IF(INDEX(Project!$C$24:$C$27,MATCH(F36,Project!$B$24:$B$27,0))="","",INDEX(Project!$C$24:$C$27,MATCH(F36,Project!$B$24:$B$27,0))),""))</f>
        <v>46396.0</v>
      </c>
      <c r="H36" s="40" t="inlineStr">
        <is>
          <t>Top Knobs</t>
        </is>
      </c>
      <c r="I36" s="40" t="inlineStr">
        <is>
          <t>TK-3223 (sample)</t>
        </is>
      </c>
      <c r="J36" s="40" t="inlineStr">
        <is>
          <t>Honey Bronze</t>
        </is>
      </c>
      <c r="K36" s="40" t="inlineStr">
        <is>
          <t>6-5/16 in</t>
        </is>
      </c>
      <c r="L36" s="56" t="n">
        <v>42</v>
      </c>
      <c r="M36" s="40" t="inlineStr">
        <is>
          <t>ea</t>
        </is>
      </c>
      <c r="N36" s="57" t="n">
        <v>11.5</v>
      </c>
      <c r="O36" s="35">
        <f>IF(OR(L36="",N36=""),"",L36*N36)</f>
        <v>483</v>
      </c>
      <c r="P36" s="43" t="n">
        <v>420</v>
      </c>
      <c r="Q36" s="36">
        <f>IF(OR(O36="",P36=""),"",O36-P36)</f>
        <v>63</v>
      </c>
      <c r="R36" s="40" t="inlineStr">
        <is>
          <t>Hardware Source</t>
        </is>
      </c>
      <c r="S36" s="40" t="n"/>
      <c r="T36" s="58" t="n">
        <v>14</v>
      </c>
      <c r="U36" s="42">
        <f>TODAY()+100</f>
        <v>46386.0</v>
      </c>
      <c r="V36" s="55">
        <f>IF(OR(U36="",T36=""),"",U36-T36)</f>
        <v>46372.0</v>
      </c>
      <c r="W36" s="40" t="inlineStr">
        <is>
          <t>Selected</t>
        </is>
      </c>
      <c r="X36" s="42" t="n"/>
      <c r="Y36" s="40" t="n"/>
      <c r="Z36" s="32" t="str">
        <f>IF(C36="","",IF(OR(W36="Ordered",W36="Received",W36="Installed"),"Ordered",IF(AND(I36&lt;&gt;"",J36&lt;&gt;"",L36&lt;&gt;"",R36&lt;&gt;"",T36&lt;&gt;"",X36&lt;&gt;""),"READY","Missing: "&amp;_xlfn.TEXTJOIN(", ",TRUE,IF(I36="","model",""),IF(J36="","finish",""),IF(L36="","qty",""),IF(R36="","supplier",""),IF(T36="","lead time",""),IF(X36="","approval","")))))</f>
        <v>Missing: approval</v>
      </c>
      <c r="AA36" s="54" t="str">
        <f>IF(C36="","",IF(OR(W36="Ordered",W36="Received",W36="Installed"),"",IF(AND(G36&lt;&gt;"",X36="",G36&lt;TODAY()),"DECISION OVERDUE",IF(V36="","",IF(V36&lt;TODAY(),"ORDER OVERDUE",IF(V36-TODAY()&lt;=14,"ORDER SOON",""))))))</f>
        <v/>
      </c>
      <c r="AB36" s="35">
        <f>IF(Q36="","",IF(AND(X36="",Q36&gt;0),Q36,""))</f>
        <v>63</v>
      </c>
      <c r="AC36" s="59" t="n"/>
      <c r="AD36" s="59" t="n"/>
      <c r="AE36" s="60" t="str">
        <f>IF(AND(C36&lt;&gt;"",B36='Client Sign-Off'!$D$7),COUNTIFS($B$6:B36,'Client Sign-Off'!$D$7,$C$6:C36,"?*"),"")</f>
        <v/>
      </c>
    </row>
    <row r="37" ht="30" customHeight="1">
      <c r="A37" s="54">
        <f>IF(C37="","",ROW()-5)</f>
        <v>32</v>
      </c>
      <c r="B37" s="40" t="inlineStr">
        <is>
          <t>Whole House</t>
        </is>
      </c>
      <c r="C37" s="40" t="inlineStr">
        <is>
          <t>Door levers</t>
        </is>
      </c>
      <c r="D37" s="40" t="inlineStr">
        <is>
          <t>Interior doors</t>
        </is>
      </c>
      <c r="E37" s="40" t="inlineStr">
        <is>
          <t>Door Hardware</t>
        </is>
      </c>
      <c r="F37" s="40" t="inlineStr">
        <is>
          <t>Before install</t>
        </is>
      </c>
      <c r="G37" s="55">
        <f>IF(F37="","",IFERROR(IF(INDEX(Project!$C$24:$C$27,MATCH(F37,Project!$B$24:$B$27,0))="","",INDEX(Project!$C$24:$C$27,MATCH(F37,Project!$B$24:$B$27,0))),""))</f>
        <v>46396.0</v>
      </c>
      <c r="H37" s="40" t="inlineStr">
        <is>
          <t>Emtek</t>
        </is>
      </c>
      <c r="I37" s="40" t="inlineStr">
        <is>
          <t>5000 series (sample)</t>
        </is>
      </c>
      <c r="J37" s="40" t="inlineStr">
        <is>
          <t>Matte Black</t>
        </is>
      </c>
      <c r="K37" s="40" t="n"/>
      <c r="L37" s="56" t="n">
        <v>22</v>
      </c>
      <c r="M37" s="40" t="inlineStr">
        <is>
          <t>ea</t>
        </is>
      </c>
      <c r="N37" s="57" t="n">
        <v>68</v>
      </c>
      <c r="O37" s="35">
        <f>IF(OR(L37="",N37=""),"",L37*N37)</f>
        <v>1496</v>
      </c>
      <c r="P37" s="43" t="n"/>
      <c r="Q37" s="36" t="str">
        <f>IF(OR(O37="",P37=""),"",O37-P37)</f>
        <v/>
      </c>
      <c r="R37" s="40" t="inlineStr">
        <is>
          <t>Hardware Source</t>
        </is>
      </c>
      <c r="S37" s="40" t="n"/>
      <c r="T37" s="58" t="n">
        <v>28</v>
      </c>
      <c r="U37" s="42">
        <f>TODAY()+100</f>
        <v>46386.0</v>
      </c>
      <c r="V37" s="55">
        <f>IF(OR(U37="",T37=""),"",U37-T37)</f>
        <v>46358.0</v>
      </c>
      <c r="W37" s="40" t="inlineStr">
        <is>
          <t>Approved</t>
        </is>
      </c>
      <c r="X37" s="42">
        <f>TODAY()-4</f>
        <v>46282.0</v>
      </c>
      <c r="Y37" s="40" t="inlineStr">
        <is>
          <t>C. Miller</t>
        </is>
      </c>
      <c r="Z37" s="32" t="str">
        <f>IF(C37="","",IF(OR(W37="Ordered",W37="Received",W37="Installed"),"Ordered",IF(AND(I37&lt;&gt;"",J37&lt;&gt;"",L37&lt;&gt;"",R37&lt;&gt;"",T37&lt;&gt;"",X37&lt;&gt;""),"READY","Missing: "&amp;_xlfn.TEXTJOIN(", ",TRUE,IF(I37="","model",""),IF(J37="","finish",""),IF(L37="","qty",""),IF(R37="","supplier",""),IF(T37="","lead time",""),IF(X37="","approval","")))))</f>
        <v>READY</v>
      </c>
      <c r="AA37" s="54" t="str">
        <f>IF(C37="","",IF(OR(W37="Ordered",W37="Received",W37="Installed"),"",IF(AND(G37&lt;&gt;"",X37="",G37&lt;TODAY()),"DECISION OVERDUE",IF(V37="","",IF(V37&lt;TODAY(),"ORDER OVERDUE",IF(V37-TODAY()&lt;=14,"ORDER SOON",""))))))</f>
        <v/>
      </c>
      <c r="AB37" s="35" t="str">
        <f>IF(Q37="","",IF(AND(X37="",Q37&gt;0),Q37,""))</f>
        <v/>
      </c>
      <c r="AC37" s="59" t="n"/>
      <c r="AD37" s="59" t="n"/>
      <c r="AE37" s="60" t="str">
        <f>IF(AND(C37&lt;&gt;"",B37='Client Sign-Off'!$D$7),COUNTIFS($B$6:B37,'Client Sign-Off'!$D$7,$C$6:C37,"?*"),"")</f>
        <v/>
      </c>
    </row>
    <row r="38" ht="30" customHeight="1">
      <c r="A38" s="54">
        <f>IF(C38="","",ROW()-5)</f>
        <v>33</v>
      </c>
      <c r="B38" s="40" t="inlineStr">
        <is>
          <t>Whole House</t>
        </is>
      </c>
      <c r="C38" s="40" t="inlineStr">
        <is>
          <t>Interior doors</t>
        </is>
      </c>
      <c r="D38" s="40" t="inlineStr">
        <is>
          <t>Throughout</t>
        </is>
      </c>
      <c r="E38" s="40" t="inlineStr">
        <is>
          <t>Interior Doors</t>
        </is>
      </c>
      <c r="F38" s="40" t="inlineStr">
        <is>
          <t>Before drywall</t>
        </is>
      </c>
      <c r="G38" s="55">
        <f>IF(F38="","",IFERROR(IF(INDEX(Project!$C$24:$C$27,MATCH(F38,Project!$B$24:$B$27,0))="","",INDEX(Project!$C$24:$C$27,MATCH(F38,Project!$B$24:$B$27,0))),""))</f>
        <v>46346.0</v>
      </c>
      <c r="H38" s="40" t="inlineStr">
        <is>
          <t>Masonite</t>
        </is>
      </c>
      <c r="I38" s="40" t="inlineStr">
        <is>
          <t>2-panel shaker (sample)</t>
        </is>
      </c>
      <c r="J38" s="40" t="inlineStr">
        <is>
          <t>Primed</t>
        </is>
      </c>
      <c r="K38" s="40" t="inlineStr">
        <is>
          <t>Per schedule</t>
        </is>
      </c>
      <c r="L38" s="56" t="n">
        <v>22</v>
      </c>
      <c r="M38" s="40" t="inlineStr">
        <is>
          <t>ea</t>
        </is>
      </c>
      <c r="N38" s="57" t="n">
        <v>245</v>
      </c>
      <c r="O38" s="35">
        <f>IF(OR(L38="",N38=""),"",L38*N38)</f>
        <v>5390</v>
      </c>
      <c r="P38" s="43" t="n"/>
      <c r="Q38" s="36" t="str">
        <f>IF(OR(O38="",P38=""),"",O38-P38)</f>
        <v/>
      </c>
      <c r="R38" s="40" t="inlineStr">
        <is>
          <t>Builders Supply Co</t>
        </is>
      </c>
      <c r="S38" s="40" t="n"/>
      <c r="T38" s="58" t="n">
        <v>28</v>
      </c>
      <c r="U38" s="42">
        <f>TODAY()+80</f>
        <v>46366.0</v>
      </c>
      <c r="V38" s="55">
        <f>IF(OR(U38="",T38=""),"",U38-T38)</f>
        <v>46338.0</v>
      </c>
      <c r="W38" s="40" t="inlineStr">
        <is>
          <t>Approved</t>
        </is>
      </c>
      <c r="X38" s="42">
        <f>TODAY()-10</f>
        <v>46276.0</v>
      </c>
      <c r="Y38" s="40" t="inlineStr">
        <is>
          <t>J. Miller</t>
        </is>
      </c>
      <c r="Z38" s="32" t="str">
        <f>IF(C38="","",IF(OR(W38="Ordered",W38="Received",W38="Installed"),"Ordered",IF(AND(I38&lt;&gt;"",J38&lt;&gt;"",L38&lt;&gt;"",R38&lt;&gt;"",T38&lt;&gt;"",X38&lt;&gt;""),"READY","Missing: "&amp;_xlfn.TEXTJOIN(", ",TRUE,IF(I38="","model",""),IF(J38="","finish",""),IF(L38="","qty",""),IF(R38="","supplier",""),IF(T38="","lead time",""),IF(X38="","approval","")))))</f>
        <v>READY</v>
      </c>
      <c r="AA38" s="54" t="str">
        <f>IF(C38="","",IF(OR(W38="Ordered",W38="Received",W38="Installed"),"",IF(AND(G38&lt;&gt;"",X38="",G38&lt;TODAY()),"DECISION OVERDUE",IF(V38="","",IF(V38&lt;TODAY(),"ORDER OVERDUE",IF(V38-TODAY()&lt;=14,"ORDER SOON",""))))))</f>
        <v/>
      </c>
      <c r="AB38" s="35" t="str">
        <f>IF(Q38="","",IF(AND(X38="",Q38&gt;0),Q38,""))</f>
        <v/>
      </c>
      <c r="AC38" s="59" t="n"/>
      <c r="AD38" s="59" t="n"/>
      <c r="AE38" s="60" t="str">
        <f>IF(AND(C38&lt;&gt;"",B38='Client Sign-Off'!$D$7),COUNTIFS($B$6:B38,'Client Sign-Off'!$D$7,$C$6:C38,"?*"),"")</f>
        <v/>
      </c>
    </row>
    <row r="39" ht="30" customHeight="1">
      <c r="A39" s="54">
        <f>IF(C39="","",ROW()-5)</f>
        <v>34</v>
      </c>
      <c r="B39" s="40" t="inlineStr">
        <is>
          <t>Whole House</t>
        </is>
      </c>
      <c r="C39" s="40" t="inlineStr">
        <is>
          <t>Wall paint</t>
        </is>
      </c>
      <c r="D39" s="40" t="inlineStr">
        <is>
          <t>Walls</t>
        </is>
      </c>
      <c r="E39" s="40" t="inlineStr">
        <is>
          <t>Paint</t>
        </is>
      </c>
      <c r="F39" s="40" t="inlineStr">
        <is>
          <t>Before install</t>
        </is>
      </c>
      <c r="G39" s="55">
        <f>IF(F39="","",IFERROR(IF(INDEX(Project!$C$24:$C$27,MATCH(F39,Project!$B$24:$B$27,0))="","",INDEX(Project!$C$24:$C$27,MATCH(F39,Project!$B$24:$B$27,0))),""))</f>
        <v>46396.0</v>
      </c>
      <c r="H39" s="40" t="inlineStr">
        <is>
          <t>Sherwin-Williams</t>
        </is>
      </c>
      <c r="I39" s="40" t="inlineStr">
        <is>
          <t>SW 7036 Accessible Beige</t>
        </is>
      </c>
      <c r="J39" s="40" t="inlineStr">
        <is>
          <t>Eggshell</t>
        </is>
      </c>
      <c r="K39" s="40" t="n"/>
      <c r="L39" s="56" t="n">
        <v>32</v>
      </c>
      <c r="M39" s="40" t="inlineStr">
        <is>
          <t>gal</t>
        </is>
      </c>
      <c r="N39" s="57" t="n">
        <v>72</v>
      </c>
      <c r="O39" s="35">
        <f>IF(OR(L39="",N39=""),"",L39*N39)</f>
        <v>2304</v>
      </c>
      <c r="P39" s="43" t="n"/>
      <c r="Q39" s="36" t="str">
        <f>IF(OR(O39="",P39=""),"",O39-P39)</f>
        <v/>
      </c>
      <c r="R39" s="40" t="inlineStr">
        <is>
          <t>Sherwin-Williams store</t>
        </is>
      </c>
      <c r="S39" s="40" t="n"/>
      <c r="T39" s="58" t="n">
        <v>2</v>
      </c>
      <c r="U39" s="42">
        <f>TODAY()+90</f>
        <v>46376.0</v>
      </c>
      <c r="V39" s="55">
        <f>IF(OR(U39="",T39=""),"",U39-T39)</f>
        <v>46374.0</v>
      </c>
      <c r="W39" s="40" t="inlineStr">
        <is>
          <t>Approved</t>
        </is>
      </c>
      <c r="X39" s="42">
        <f>TODAY()-3</f>
        <v>46283.0</v>
      </c>
      <c r="Y39" s="40" t="inlineStr">
        <is>
          <t>C. Miller</t>
        </is>
      </c>
      <c r="Z39" s="32" t="str">
        <f>IF(C39="","",IF(OR(W39="Ordered",W39="Received",W39="Installed"),"Ordered",IF(AND(I39&lt;&gt;"",J39&lt;&gt;"",L39&lt;&gt;"",R39&lt;&gt;"",T39&lt;&gt;"",X39&lt;&gt;""),"READY","Missing: "&amp;_xlfn.TEXTJOIN(", ",TRUE,IF(I39="","model",""),IF(J39="","finish",""),IF(L39="","qty",""),IF(R39="","supplier",""),IF(T39="","lead time",""),IF(X39="","approval","")))))</f>
        <v>READY</v>
      </c>
      <c r="AA39" s="54" t="str">
        <f>IF(C39="","",IF(OR(W39="Ordered",W39="Received",W39="Installed"),"",IF(AND(G39&lt;&gt;"",X39="",G39&lt;TODAY()),"DECISION OVERDUE",IF(V39="","",IF(V39&lt;TODAY(),"ORDER OVERDUE",IF(V39-TODAY()&lt;=14,"ORDER SOON",""))))))</f>
        <v/>
      </c>
      <c r="AB39" s="35" t="str">
        <f>IF(Q39="","",IF(AND(X39="",Q39&gt;0),Q39,""))</f>
        <v/>
      </c>
      <c r="AC39" s="59" t="n"/>
      <c r="AD39" s="59" t="n"/>
      <c r="AE39" s="60" t="str">
        <f>IF(AND(C39&lt;&gt;"",B39='Client Sign-Off'!$D$7),COUNTIFS($B$6:B39,'Client Sign-Off'!$D$7,$C$6:C39,"?*"),"")</f>
        <v/>
      </c>
    </row>
    <row r="40" ht="30" customHeight="1">
      <c r="A40" s="54">
        <f>IF(C40="","",ROW()-5)</f>
        <v>35</v>
      </c>
      <c r="B40" s="40" t="inlineStr">
        <is>
          <t>Whole House</t>
        </is>
      </c>
      <c r="C40" s="40" t="inlineStr">
        <is>
          <t>Trim paint</t>
        </is>
      </c>
      <c r="D40" s="40" t="inlineStr">
        <is>
          <t>Trim and doors</t>
        </is>
      </c>
      <c r="E40" s="40" t="inlineStr">
        <is>
          <t>Paint</t>
        </is>
      </c>
      <c r="F40" s="40" t="inlineStr">
        <is>
          <t>Before install</t>
        </is>
      </c>
      <c r="G40" s="55">
        <f>IF(F40="","",IFERROR(IF(INDEX(Project!$C$24:$C$27,MATCH(F40,Project!$B$24:$B$27,0))="","",INDEX(Project!$C$24:$C$27,MATCH(F40,Project!$B$24:$B$27,0))),""))</f>
        <v>46396.0</v>
      </c>
      <c r="H40" s="40" t="inlineStr">
        <is>
          <t>Sherwin-Williams</t>
        </is>
      </c>
      <c r="I40" s="40" t="inlineStr">
        <is>
          <t>SW 7005 Pure White</t>
        </is>
      </c>
      <c r="J40" s="40" t="inlineStr">
        <is>
          <t>Semi-Gloss</t>
        </is>
      </c>
      <c r="K40" s="40" t="n"/>
      <c r="L40" s="56" t="n">
        <v>12</v>
      </c>
      <c r="M40" s="40" t="inlineStr">
        <is>
          <t>gal</t>
        </is>
      </c>
      <c r="N40" s="57" t="n">
        <v>78</v>
      </c>
      <c r="O40" s="35">
        <f>IF(OR(L40="",N40=""),"",L40*N40)</f>
        <v>936</v>
      </c>
      <c r="P40" s="43" t="n"/>
      <c r="Q40" s="36" t="str">
        <f>IF(OR(O40="",P40=""),"",O40-P40)</f>
        <v/>
      </c>
      <c r="R40" s="40" t="inlineStr">
        <is>
          <t>Sherwin-Williams store</t>
        </is>
      </c>
      <c r="S40" s="40" t="n"/>
      <c r="T40" s="58" t="n">
        <v>2</v>
      </c>
      <c r="U40" s="42">
        <f>TODAY()+90</f>
        <v>46376.0</v>
      </c>
      <c r="V40" s="55">
        <f>IF(OR(U40="",T40=""),"",U40-T40)</f>
        <v>46374.0</v>
      </c>
      <c r="W40" s="40" t="inlineStr">
        <is>
          <t>Approved</t>
        </is>
      </c>
      <c r="X40" s="42">
        <f>TODAY()-3</f>
        <v>46283.0</v>
      </c>
      <c r="Y40" s="40" t="inlineStr">
        <is>
          <t>C. Miller</t>
        </is>
      </c>
      <c r="Z40" s="32" t="str">
        <f>IF(C40="","",IF(OR(W40="Ordered",W40="Received",W40="Installed"),"Ordered",IF(AND(I40&lt;&gt;"",J40&lt;&gt;"",L40&lt;&gt;"",R40&lt;&gt;"",T40&lt;&gt;"",X40&lt;&gt;""),"READY","Missing: "&amp;_xlfn.TEXTJOIN(", ",TRUE,IF(I40="","model",""),IF(J40="","finish",""),IF(L40="","qty",""),IF(R40="","supplier",""),IF(T40="","lead time",""),IF(X40="","approval","")))))</f>
        <v>READY</v>
      </c>
      <c r="AA40" s="54" t="str">
        <f>IF(C40="","",IF(OR(W40="Ordered",W40="Received",W40="Installed"),"",IF(AND(G40&lt;&gt;"",X40="",G40&lt;TODAY()),"DECISION OVERDUE",IF(V40="","",IF(V40&lt;TODAY(),"ORDER OVERDUE",IF(V40-TODAY()&lt;=14,"ORDER SOON",""))))))</f>
        <v/>
      </c>
      <c r="AB40" s="35" t="str">
        <f>IF(Q40="","",IF(AND(X40="",Q40&gt;0),Q40,""))</f>
        <v/>
      </c>
      <c r="AC40" s="59" t="n"/>
      <c r="AD40" s="59" t="n"/>
      <c r="AE40" s="60" t="str">
        <f>IF(AND(C40&lt;&gt;"",B40='Client Sign-Off'!$D$7),COUNTIFS($B$6:B40,'Client Sign-Off'!$D$7,$C$6:C40,"?*"),"")</f>
        <v/>
      </c>
    </row>
    <row r="41" ht="30" customHeight="1">
      <c r="A41" s="54">
        <f>IF(C41="","",ROW()-5)</f>
        <v>36</v>
      </c>
      <c r="B41" s="40" t="inlineStr">
        <is>
          <t>Whole House</t>
        </is>
      </c>
      <c r="C41" s="40" t="inlineStr">
        <is>
          <t>LVP flooring</t>
        </is>
      </c>
      <c r="D41" s="40" t="inlineStr">
        <is>
          <t>Main level</t>
        </is>
      </c>
      <c r="E41" s="40" t="inlineStr">
        <is>
          <t>Flooring</t>
        </is>
      </c>
      <c r="F41" s="40" t="inlineStr">
        <is>
          <t>Before install</t>
        </is>
      </c>
      <c r="G41" s="55">
        <f>IF(F41="","",IFERROR(IF(INDEX(Project!$C$24:$C$27,MATCH(F41,Project!$B$24:$B$27,0))="","",INDEX(Project!$C$24:$C$27,MATCH(F41,Project!$B$24:$B$27,0))),""))</f>
        <v>46396.0</v>
      </c>
      <c r="H41" s="40" t="inlineStr">
        <is>
          <t>COREtec</t>
        </is>
      </c>
      <c r="I41" s="40" t="inlineStr">
        <is>
          <t>Plus 7 in (sample)</t>
        </is>
      </c>
      <c r="J41" s="40" t="inlineStr">
        <is>
          <t>Natural Oak</t>
        </is>
      </c>
      <c r="K41" s="40" t="n"/>
      <c r="L41" s="56" t="n">
        <v>1850</v>
      </c>
      <c r="M41" s="40" t="inlineStr">
        <is>
          <t>sf</t>
        </is>
      </c>
      <c r="N41" s="57" t="n">
        <v>4.35</v>
      </c>
      <c r="O41" s="35">
        <f>IF(OR(L41="",N41=""),"",L41*N41)</f>
        <v>8047.5</v>
      </c>
      <c r="P41" s="43" t="n">
        <v>7400</v>
      </c>
      <c r="Q41" s="36">
        <f>IF(OR(O41="",P41=""),"",O41-P41)</f>
        <v>647.499999999999</v>
      </c>
      <c r="R41" s="40" t="inlineStr">
        <is>
          <t>Floor Center</t>
        </is>
      </c>
      <c r="S41" s="40" t="n"/>
      <c r="T41" s="58" t="n">
        <v>21</v>
      </c>
      <c r="U41" s="42">
        <f>TODAY()+85</f>
        <v>46371.0</v>
      </c>
      <c r="V41" s="55">
        <f>IF(OR(U41="",T41=""),"",U41-T41)</f>
        <v>46350.0</v>
      </c>
      <c r="W41" s="40" t="inlineStr">
        <is>
          <t>Ordered</t>
        </is>
      </c>
      <c r="X41" s="42">
        <f>TODAY()-20</f>
        <v>46266.0</v>
      </c>
      <c r="Y41" s="40" t="inlineStr">
        <is>
          <t>J. Miller</t>
        </is>
      </c>
      <c r="Z41" s="32" t="str">
        <f>IF(C41="","",IF(OR(W41="Ordered",W41="Received",W41="Installed"),"Ordered",IF(AND(I41&lt;&gt;"",J41&lt;&gt;"",L41&lt;&gt;"",R41&lt;&gt;"",T41&lt;&gt;"",X41&lt;&gt;""),"READY","Missing: "&amp;_xlfn.TEXTJOIN(", ",TRUE,IF(I41="","model",""),IF(J41="","finish",""),IF(L41="","qty",""),IF(R41="","supplier",""),IF(T41="","lead time",""),IF(X41="","approval","")))))</f>
        <v>Ordered</v>
      </c>
      <c r="AA41" s="54" t="str">
        <f>IF(C41="","",IF(OR(W41="Ordered",W41="Received",W41="Installed"),"",IF(AND(G41&lt;&gt;"",X41="",G41&lt;TODAY()),"DECISION OVERDUE",IF(V41="","",IF(V41&lt;TODAY(),"ORDER OVERDUE",IF(V41-TODAY()&lt;=14,"ORDER SOON",""))))))</f>
        <v/>
      </c>
      <c r="AB41" s="35" t="str">
        <f>IF(Q41="","",IF(AND(X41="",Q41&gt;0),Q41,""))</f>
        <v/>
      </c>
      <c r="AC41" s="59" t="n"/>
      <c r="AD41" s="59" t="inlineStr">
        <is>
          <t>Acclimate on site 72 hours.</t>
        </is>
      </c>
      <c r="AE41" s="60" t="str">
        <f>IF(AND(C41&lt;&gt;"",B41='Client Sign-Off'!$D$7),COUNTIFS($B$6:B41,'Client Sign-Off'!$D$7,$C$6:C41,"?*"),"")</f>
        <v/>
      </c>
    </row>
    <row r="42" ht="30" customHeight="1">
      <c r="A42" s="54">
        <f>IF(C42="","",ROW()-5)</f>
        <v>37</v>
      </c>
      <c r="B42" s="40" t="inlineStr">
        <is>
          <t>Bedroom 2</t>
        </is>
      </c>
      <c r="C42" s="40" t="inlineStr">
        <is>
          <t>Carpet</t>
        </is>
      </c>
      <c r="D42" s="40" t="inlineStr">
        <is>
          <t>Bedrooms 2 and 3</t>
        </is>
      </c>
      <c r="E42" s="40" t="inlineStr">
        <is>
          <t>Flooring</t>
        </is>
      </c>
      <c r="F42" s="40" t="inlineStr">
        <is>
          <t>Before install</t>
        </is>
      </c>
      <c r="G42" s="55">
        <f>IF(F42="","",IFERROR(IF(INDEX(Project!$C$24:$C$27,MATCH(F42,Project!$B$24:$B$27,0))="","",INDEX(Project!$C$24:$C$27,MATCH(F42,Project!$B$24:$B$27,0))),""))</f>
        <v>46396.0</v>
      </c>
      <c r="H42" s="40" t="inlineStr">
        <is>
          <t>Shaw</t>
        </is>
      </c>
      <c r="I42" s="40" t="n"/>
      <c r="J42" s="40" t="n"/>
      <c r="K42" s="40" t="n"/>
      <c r="L42" s="56" t="n">
        <v>420</v>
      </c>
      <c r="M42" s="40" t="inlineStr">
        <is>
          <t>sf</t>
        </is>
      </c>
      <c r="N42" s="57" t="n">
        <v>3.6</v>
      </c>
      <c r="O42" s="35">
        <f>IF(OR(L42="",N42=""),"",L42*N42)</f>
        <v>1512</v>
      </c>
      <c r="P42" s="43" t="n">
        <v>1680</v>
      </c>
      <c r="Q42" s="36">
        <f>IF(OR(O42="",P42=""),"",O42-P42)</f>
        <v>-168</v>
      </c>
      <c r="R42" s="40" t="inlineStr">
        <is>
          <t>Floor Center</t>
        </is>
      </c>
      <c r="S42" s="40" t="n"/>
      <c r="T42" s="58" t="n">
        <v>14</v>
      </c>
      <c r="U42" s="42">
        <f>TODAY()+105</f>
        <v>46391.0</v>
      </c>
      <c r="V42" s="55">
        <f>IF(OR(U42="",T42=""),"",U42-T42)</f>
        <v>46377.0</v>
      </c>
      <c r="W42" s="40" t="inlineStr">
        <is>
          <t>Pending</t>
        </is>
      </c>
      <c r="X42" s="42" t="n"/>
      <c r="Y42" s="40" t="n"/>
      <c r="Z42" s="32" t="str">
        <f>IF(C42="","",IF(OR(W42="Ordered",W42="Received",W42="Installed"),"Ordered",IF(AND(I42&lt;&gt;"",J42&lt;&gt;"",L42&lt;&gt;"",R42&lt;&gt;"",T42&lt;&gt;"",X42&lt;&gt;""),"READY","Missing: "&amp;_xlfn.TEXTJOIN(", ",TRUE,IF(I42="","model",""),IF(J42="","finish",""),IF(L42="","qty",""),IF(R42="","supplier",""),IF(T42="","lead time",""),IF(X42="","approval","")))))</f>
        <v>Missing: model, finish, approval</v>
      </c>
      <c r="AA42" s="54" t="str">
        <f>IF(C42="","",IF(OR(W42="Ordered",W42="Received",W42="Installed"),"",IF(AND(G42&lt;&gt;"",X42="",G42&lt;TODAY()),"DECISION OVERDUE",IF(V42="","",IF(V42&lt;TODAY(),"ORDER OVERDUE",IF(V42-TODAY()&lt;=14,"ORDER SOON",""))))))</f>
        <v/>
      </c>
      <c r="AB42" s="35" t="str">
        <f>IF(Q42="","",IF(AND(X42="",Q42&gt;0),Q42,""))</f>
        <v/>
      </c>
      <c r="AC42" s="59" t="n"/>
      <c r="AD42" s="59" t="n"/>
      <c r="AE42" s="60" t="str">
        <f>IF(AND(C42&lt;&gt;"",B42='Client Sign-Off'!$D$7),COUNTIFS($B$6:B42,'Client Sign-Off'!$D$7,$C$6:C42,"?*"),"")</f>
        <v/>
      </c>
    </row>
    <row r="43" ht="30" customHeight="1">
      <c r="A43" s="54">
        <f>IF(C43="","",ROW()-5)</f>
        <v>38</v>
      </c>
      <c r="B43" s="40" t="inlineStr">
        <is>
          <t>Primary Bath</t>
        </is>
      </c>
      <c r="C43" s="40" t="inlineStr">
        <is>
          <t>Shower glass</t>
        </is>
      </c>
      <c r="D43" s="40" t="inlineStr">
        <is>
          <t>Shower</t>
        </is>
      </c>
      <c r="E43" s="40" t="inlineStr">
        <is>
          <t>Shower Glass</t>
        </is>
      </c>
      <c r="F43" s="40" t="inlineStr">
        <is>
          <t>Before install</t>
        </is>
      </c>
      <c r="G43" s="55">
        <f>IF(F43="","",IFERROR(IF(INDEX(Project!$C$24:$C$27,MATCH(F43,Project!$B$24:$B$27,0))="","",INDEX(Project!$C$24:$C$27,MATCH(F43,Project!$B$24:$B$27,0))),""))</f>
        <v>46396.0</v>
      </c>
      <c r="H43" s="40" t="inlineStr">
        <is>
          <t>Local glass shop</t>
        </is>
      </c>
      <c r="I43" s="40" t="n"/>
      <c r="J43" s="40" t="n"/>
      <c r="K43" s="40" t="n"/>
      <c r="L43" s="56" t="n">
        <v>1</v>
      </c>
      <c r="M43" s="40" t="inlineStr">
        <is>
          <t>ea</t>
        </is>
      </c>
      <c r="N43" s="57" t="n"/>
      <c r="O43" s="35" t="str">
        <f>IF(OR(L43="",N43=""),"",L43*N43)</f>
        <v/>
      </c>
      <c r="P43" s="43" t="n"/>
      <c r="Q43" s="36" t="str">
        <f>IF(OR(O43="",P43=""),"",O43-P43)</f>
        <v/>
      </c>
      <c r="R43" s="40" t="inlineStr">
        <is>
          <t>Local glass shop</t>
        </is>
      </c>
      <c r="S43" s="40" t="n"/>
      <c r="T43" s="58" t="n">
        <v>14</v>
      </c>
      <c r="U43" s="42">
        <f>TODAY()+110</f>
        <v>46396.0</v>
      </c>
      <c r="V43" s="55">
        <f>IF(OR(U43="",T43=""),"",U43-T43)</f>
        <v>46382.0</v>
      </c>
      <c r="W43" s="40" t="inlineStr">
        <is>
          <t>Pending</t>
        </is>
      </c>
      <c r="X43" s="42" t="n"/>
      <c r="Y43" s="40" t="n"/>
      <c r="Z43" s="32" t="str">
        <f>IF(C43="","",IF(OR(W43="Ordered",W43="Received",W43="Installed"),"Ordered",IF(AND(I43&lt;&gt;"",J43&lt;&gt;"",L43&lt;&gt;"",R43&lt;&gt;"",T43&lt;&gt;"",X43&lt;&gt;""),"READY","Missing: "&amp;_xlfn.TEXTJOIN(", ",TRUE,IF(I43="","model",""),IF(J43="","finish",""),IF(L43="","qty",""),IF(R43="","supplier",""),IF(T43="","lead time",""),IF(X43="","approval","")))))</f>
        <v>Missing: model, finish, approval</v>
      </c>
      <c r="AA43" s="54" t="str">
        <f>IF(C43="","",IF(OR(W43="Ordered",W43="Received",W43="Installed"),"",IF(AND(G43&lt;&gt;"",X43="",G43&lt;TODAY()),"DECISION OVERDUE",IF(V43="","",IF(V43&lt;TODAY(),"ORDER OVERDUE",IF(V43-TODAY()&lt;=14,"ORDER SOON",""))))))</f>
        <v/>
      </c>
      <c r="AB43" s="35" t="str">
        <f>IF(Q43="","",IF(AND(X43="",Q43&gt;0),Q43,""))</f>
        <v/>
      </c>
      <c r="AC43" s="59" t="n"/>
      <c r="AD43" s="59" t="inlineStr">
        <is>
          <t>Measure after tile. Price comes then.</t>
        </is>
      </c>
      <c r="AE43" s="60">
        <f>IF(AND(C43&lt;&gt;"",B43='Client Sign-Off'!$D$7),COUNTIFS($B$6:B43,'Client Sign-Off'!$D$7,$C$6:C43,"?*"),"")</f>
        <v>8</v>
      </c>
    </row>
    <row r="44" ht="30" customHeight="1">
      <c r="A44" s="54">
        <f>IF(C44="","",ROW()-5)</f>
        <v>39</v>
      </c>
      <c r="B44" s="40" t="inlineStr">
        <is>
          <t>Primary Bath</t>
        </is>
      </c>
      <c r="C44" s="40" t="inlineStr">
        <is>
          <t>Mirrors</t>
        </is>
      </c>
      <c r="D44" s="40" t="inlineStr">
        <is>
          <t>Over vanity</t>
        </is>
      </c>
      <c r="E44" s="40" t="inlineStr">
        <is>
          <t>Mirrors &amp; Accessories</t>
        </is>
      </c>
      <c r="F44" s="40" t="inlineStr">
        <is>
          <t>Before install</t>
        </is>
      </c>
      <c r="G44" s="55">
        <f>IF(F44="","",IFERROR(IF(INDEX(Project!$C$24:$C$27,MATCH(F44,Project!$B$24:$B$27,0))="","",INDEX(Project!$C$24:$C$27,MATCH(F44,Project!$B$24:$B$27,0))),""))</f>
        <v>46396.0</v>
      </c>
      <c r="H44" s="40" t="inlineStr">
        <is>
          <t>Kohler</t>
        </is>
      </c>
      <c r="I44" s="40" t="inlineStr">
        <is>
          <t>Essential 24x36 (sample)</t>
        </is>
      </c>
      <c r="J44" s="40" t="inlineStr">
        <is>
          <t>Brushed Gold frame</t>
        </is>
      </c>
      <c r="K44" s="40" t="inlineStr">
        <is>
          <t>24 x 36</t>
        </is>
      </c>
      <c r="L44" s="56" t="n">
        <v>2</v>
      </c>
      <c r="M44" s="40" t="inlineStr">
        <is>
          <t>ea</t>
        </is>
      </c>
      <c r="N44" s="57" t="n">
        <v>240</v>
      </c>
      <c r="O44" s="35">
        <f>IF(OR(L44="",N44=""),"",L44*N44)</f>
        <v>480</v>
      </c>
      <c r="P44" s="43" t="n"/>
      <c r="Q44" s="36" t="str">
        <f>IF(OR(O44="",P44=""),"",O44-P44)</f>
        <v/>
      </c>
      <c r="R44" s="40" t="inlineStr">
        <is>
          <t>Plumbing Supply Co</t>
        </is>
      </c>
      <c r="S44" s="40" t="n"/>
      <c r="T44" s="58" t="n">
        <v>14</v>
      </c>
      <c r="U44" s="42">
        <f>TODAY()+105</f>
        <v>46391.0</v>
      </c>
      <c r="V44" s="55">
        <f>IF(OR(U44="",T44=""),"",U44-T44)</f>
        <v>46377.0</v>
      </c>
      <c r="W44" s="40" t="inlineStr">
        <is>
          <t>Selected</t>
        </is>
      </c>
      <c r="X44" s="42" t="n"/>
      <c r="Y44" s="40" t="n"/>
      <c r="Z44" s="32" t="str">
        <f>IF(C44="","",IF(OR(W44="Ordered",W44="Received",W44="Installed"),"Ordered",IF(AND(I44&lt;&gt;"",J44&lt;&gt;"",L44&lt;&gt;"",R44&lt;&gt;"",T44&lt;&gt;"",X44&lt;&gt;""),"READY","Missing: "&amp;_xlfn.TEXTJOIN(", ",TRUE,IF(I44="","model",""),IF(J44="","finish",""),IF(L44="","qty",""),IF(R44="","supplier",""),IF(T44="","lead time",""),IF(X44="","approval","")))))</f>
        <v>Missing: approval</v>
      </c>
      <c r="AA44" s="54" t="str">
        <f>IF(C44="","",IF(OR(W44="Ordered",W44="Received",W44="Installed"),"",IF(AND(G44&lt;&gt;"",X44="",G44&lt;TODAY()),"DECISION OVERDUE",IF(V44="","",IF(V44&lt;TODAY(),"ORDER OVERDUE",IF(V44-TODAY()&lt;=14,"ORDER SOON",""))))))</f>
        <v/>
      </c>
      <c r="AB44" s="35" t="str">
        <f>IF(Q44="","",IF(AND(X44="",Q44&gt;0),Q44,""))</f>
        <v/>
      </c>
      <c r="AC44" s="59" t="n"/>
      <c r="AD44" s="59" t="n"/>
      <c r="AE44" s="60">
        <f>IF(AND(C44&lt;&gt;"",B44='Client Sign-Off'!$D$7),COUNTIFS($B$6:B44,'Client Sign-Off'!$D$7,$C$6:C44,"?*"),"")</f>
        <v>9</v>
      </c>
    </row>
    <row r="45" ht="30" customHeight="1">
      <c r="A45" s="54">
        <f>IF(C45="","",ROW()-5)</f>
        <v>40</v>
      </c>
      <c r="B45" s="40" t="inlineStr">
        <is>
          <t>Primary Bath</t>
        </is>
      </c>
      <c r="C45" s="40" t="inlineStr">
        <is>
          <t>Towel bars and accessories</t>
        </is>
      </c>
      <c r="D45" s="40" t="inlineStr">
        <is>
          <t>Bath</t>
        </is>
      </c>
      <c r="E45" s="40" t="inlineStr">
        <is>
          <t>Mirrors &amp; Accessories</t>
        </is>
      </c>
      <c r="F45" s="40" t="inlineStr">
        <is>
          <t>Before install</t>
        </is>
      </c>
      <c r="G45" s="55">
        <f>IF(F45="","",IFERROR(IF(INDEX(Project!$C$24:$C$27,MATCH(F45,Project!$B$24:$B$27,0))="","",INDEX(Project!$C$24:$C$27,MATCH(F45,Project!$B$24:$B$27,0))),""))</f>
        <v>46396.0</v>
      </c>
      <c r="H45" s="40" t="inlineStr">
        <is>
          <t>Moen</t>
        </is>
      </c>
      <c r="I45" s="40" t="inlineStr">
        <is>
          <t>Align set (sample)</t>
        </is>
      </c>
      <c r="J45" s="40" t="inlineStr">
        <is>
          <t>Brushed Gold</t>
        </is>
      </c>
      <c r="K45" s="40" t="n"/>
      <c r="L45" s="56" t="n">
        <v>1</v>
      </c>
      <c r="M45" s="40" t="inlineStr">
        <is>
          <t>set</t>
        </is>
      </c>
      <c r="N45" s="57" t="n">
        <v>385</v>
      </c>
      <c r="O45" s="35">
        <f>IF(OR(L45="",N45=""),"",L45*N45)</f>
        <v>385</v>
      </c>
      <c r="P45" s="43" t="n"/>
      <c r="Q45" s="36" t="str">
        <f>IF(OR(O45="",P45=""),"",O45-P45)</f>
        <v/>
      </c>
      <c r="R45" s="40" t="inlineStr">
        <is>
          <t>Plumbing Supply Co</t>
        </is>
      </c>
      <c r="S45" s="40" t="n"/>
      <c r="T45" s="58" t="n">
        <v>14</v>
      </c>
      <c r="U45" s="42">
        <f>TODAY()+105</f>
        <v>46391.0</v>
      </c>
      <c r="V45" s="55">
        <f>IF(OR(U45="",T45=""),"",U45-T45)</f>
        <v>46377.0</v>
      </c>
      <c r="W45" s="40" t="inlineStr">
        <is>
          <t>Selected</t>
        </is>
      </c>
      <c r="X45" s="42" t="n"/>
      <c r="Y45" s="40" t="n"/>
      <c r="Z45" s="32" t="str">
        <f>IF(C45="","",IF(OR(W45="Ordered",W45="Received",W45="Installed"),"Ordered",IF(AND(I45&lt;&gt;"",J45&lt;&gt;"",L45&lt;&gt;"",R45&lt;&gt;"",T45&lt;&gt;"",X45&lt;&gt;""),"READY","Missing: "&amp;_xlfn.TEXTJOIN(", ",TRUE,IF(I45="","model",""),IF(J45="","finish",""),IF(L45="","qty",""),IF(R45="","supplier",""),IF(T45="","lead time",""),IF(X45="","approval","")))))</f>
        <v>Missing: approval</v>
      </c>
      <c r="AA45" s="54" t="str">
        <f>IF(C45="","",IF(OR(W45="Ordered",W45="Received",W45="Installed"),"",IF(AND(G45&lt;&gt;"",X45="",G45&lt;TODAY()),"DECISION OVERDUE",IF(V45="","",IF(V45&lt;TODAY(),"ORDER OVERDUE",IF(V45-TODAY()&lt;=14,"ORDER SOON",""))))))</f>
        <v/>
      </c>
      <c r="AB45" s="35" t="str">
        <f>IF(Q45="","",IF(AND(X45="",Q45&gt;0),Q45,""))</f>
        <v/>
      </c>
      <c r="AC45" s="59" t="n"/>
      <c r="AD45" s="59" t="n"/>
      <c r="AE45" s="60">
        <f>IF(AND(C45&lt;&gt;"",B45='Client Sign-Off'!$D$7),COUNTIFS($B$6:B45,'Client Sign-Off'!$D$7,$C$6:C45,"?*"),"")</f>
        <v>10</v>
      </c>
    </row>
    <row r="46" ht="18" customHeight="1">
      <c r="A46" s="54" t="str">
        <f>IF(C46="","",ROW()-5)</f>
        <v/>
      </c>
      <c r="B46" s="40" t="n"/>
      <c r="C46" s="40" t="n"/>
      <c r="D46" s="40" t="n"/>
      <c r="E46" s="40" t="n"/>
      <c r="F46" s="40" t="n"/>
      <c r="G46" s="55" t="str">
        <f>IF(F46="","",IFERROR(IF(INDEX(Project!$C$24:$C$27,MATCH(F46,Project!$B$24:$B$27,0))="","",INDEX(Project!$C$24:$C$27,MATCH(F46,Project!$B$24:$B$27,0))),""))</f>
        <v/>
      </c>
      <c r="H46" s="40" t="n"/>
      <c r="I46" s="40" t="n"/>
      <c r="J46" s="40" t="n"/>
      <c r="K46" s="40" t="n"/>
      <c r="L46" s="56" t="n"/>
      <c r="M46" s="40" t="n"/>
      <c r="N46" s="57" t="n"/>
      <c r="O46" s="35" t="str">
        <f>IF(OR(L46="",N46=""),"",L46*N46)</f>
        <v/>
      </c>
      <c r="P46" s="43" t="n"/>
      <c r="Q46" s="36" t="str">
        <f>IF(OR(O46="",P46=""),"",O46-P46)</f>
        <v/>
      </c>
      <c r="R46" s="40" t="n"/>
      <c r="S46" s="40" t="n"/>
      <c r="T46" s="58" t="n"/>
      <c r="U46" s="42" t="n"/>
      <c r="V46" s="55" t="str">
        <f>IF(OR(U46="",T46=""),"",U46-T46)</f>
        <v/>
      </c>
      <c r="W46" s="40" t="n"/>
      <c r="X46" s="42" t="n"/>
      <c r="Y46" s="40" t="n"/>
      <c r="Z46" s="32" t="str">
        <f>IF(C46="","",IF(OR(W46="Ordered",W46="Received",W46="Installed"),"Ordered",IF(AND(I46&lt;&gt;"",J46&lt;&gt;"",L46&lt;&gt;"",R46&lt;&gt;"",T46&lt;&gt;"",X46&lt;&gt;""),"READY","Missing: "&amp;_xlfn.TEXTJOIN(", ",TRUE,IF(I46="","model",""),IF(J46="","finish",""),IF(L46="","qty",""),IF(R46="","supplier",""),IF(T46="","lead time",""),IF(X46="","approval","")))))</f>
        <v/>
      </c>
      <c r="AA46" s="54" t="str">
        <f>IF(C46="","",IF(OR(W46="Ordered",W46="Received",W46="Installed"),"",IF(AND(G46&lt;&gt;"",X46="",G46&lt;TODAY()),"DECISION OVERDUE",IF(V46="","",IF(V46&lt;TODAY(),"ORDER OVERDUE",IF(V46-TODAY()&lt;=14,"ORDER SOON",""))))))</f>
        <v/>
      </c>
      <c r="AB46" s="35" t="str">
        <f>IF(Q46="","",IF(AND(X46="",Q46&gt;0),Q46,""))</f>
        <v/>
      </c>
      <c r="AC46" s="59" t="n"/>
      <c r="AD46" s="59" t="n"/>
      <c r="AE46" s="60" t="str">
        <f>IF(AND(C46&lt;&gt;"",B46='Client Sign-Off'!$D$7),COUNTIFS($B$6:B46,'Client Sign-Off'!$D$7,$C$6:C46,"?*"),"")</f>
        <v/>
      </c>
    </row>
    <row r="47" ht="18" customHeight="1">
      <c r="A47" s="54" t="str">
        <f>IF(C47="","",ROW()-5)</f>
        <v/>
      </c>
      <c r="B47" s="40" t="n"/>
      <c r="C47" s="40" t="n"/>
      <c r="D47" s="40" t="n"/>
      <c r="E47" s="40" t="n"/>
      <c r="F47" s="40" t="n"/>
      <c r="G47" s="55" t="str">
        <f>IF(F47="","",IFERROR(IF(INDEX(Project!$C$24:$C$27,MATCH(F47,Project!$B$24:$B$27,0))="","",INDEX(Project!$C$24:$C$27,MATCH(F47,Project!$B$24:$B$27,0))),""))</f>
        <v/>
      </c>
      <c r="H47" s="40" t="n"/>
      <c r="I47" s="40" t="n"/>
      <c r="J47" s="40" t="n"/>
      <c r="K47" s="40" t="n"/>
      <c r="L47" s="56" t="n"/>
      <c r="M47" s="40" t="n"/>
      <c r="N47" s="57" t="n"/>
      <c r="O47" s="35" t="str">
        <f>IF(OR(L47="",N47=""),"",L47*N47)</f>
        <v/>
      </c>
      <c r="P47" s="43" t="n"/>
      <c r="Q47" s="36" t="str">
        <f>IF(OR(O47="",P47=""),"",O47-P47)</f>
        <v/>
      </c>
      <c r="R47" s="40" t="n"/>
      <c r="S47" s="40" t="n"/>
      <c r="T47" s="58" t="n"/>
      <c r="U47" s="42" t="n"/>
      <c r="V47" s="55" t="str">
        <f>IF(OR(U47="",T47=""),"",U47-T47)</f>
        <v/>
      </c>
      <c r="W47" s="40" t="n"/>
      <c r="X47" s="42" t="n"/>
      <c r="Y47" s="40" t="n"/>
      <c r="Z47" s="32" t="str">
        <f>IF(C47="","",IF(OR(W47="Ordered",W47="Received",W47="Installed"),"Ordered",IF(AND(I47&lt;&gt;"",J47&lt;&gt;"",L47&lt;&gt;"",R47&lt;&gt;"",T47&lt;&gt;"",X47&lt;&gt;""),"READY","Missing: "&amp;_xlfn.TEXTJOIN(", ",TRUE,IF(I47="","model",""),IF(J47="","finish",""),IF(L47="","qty",""),IF(R47="","supplier",""),IF(T47="","lead time",""),IF(X47="","approval","")))))</f>
        <v/>
      </c>
      <c r="AA47" s="54" t="str">
        <f>IF(C47="","",IF(OR(W47="Ordered",W47="Received",W47="Installed"),"",IF(AND(G47&lt;&gt;"",X47="",G47&lt;TODAY()),"DECISION OVERDUE",IF(V47="","",IF(V47&lt;TODAY(),"ORDER OVERDUE",IF(V47-TODAY()&lt;=14,"ORDER SOON",""))))))</f>
        <v/>
      </c>
      <c r="AB47" s="35" t="str">
        <f>IF(Q47="","",IF(AND(X47="",Q47&gt;0),Q47,""))</f>
        <v/>
      </c>
      <c r="AC47" s="59" t="n"/>
      <c r="AD47" s="59" t="n"/>
      <c r="AE47" s="60" t="str">
        <f>IF(AND(C47&lt;&gt;"",B47='Client Sign-Off'!$D$7),COUNTIFS($B$6:B47,'Client Sign-Off'!$D$7,$C$6:C47,"?*"),"")</f>
        <v/>
      </c>
    </row>
    <row r="48" ht="18" customHeight="1">
      <c r="A48" s="54" t="str">
        <f>IF(C48="","",ROW()-5)</f>
        <v/>
      </c>
      <c r="B48" s="40" t="n"/>
      <c r="C48" s="40" t="n"/>
      <c r="D48" s="40" t="n"/>
      <c r="E48" s="40" t="n"/>
      <c r="F48" s="40" t="n"/>
      <c r="G48" s="55" t="str">
        <f>IF(F48="","",IFERROR(IF(INDEX(Project!$C$24:$C$27,MATCH(F48,Project!$B$24:$B$27,0))="","",INDEX(Project!$C$24:$C$27,MATCH(F48,Project!$B$24:$B$27,0))),""))</f>
        <v/>
      </c>
      <c r="H48" s="40" t="n"/>
      <c r="I48" s="40" t="n"/>
      <c r="J48" s="40" t="n"/>
      <c r="K48" s="40" t="n"/>
      <c r="L48" s="56" t="n"/>
      <c r="M48" s="40" t="n"/>
      <c r="N48" s="57" t="n"/>
      <c r="O48" s="35" t="str">
        <f>IF(OR(L48="",N48=""),"",L48*N48)</f>
        <v/>
      </c>
      <c r="P48" s="43" t="n"/>
      <c r="Q48" s="36" t="str">
        <f>IF(OR(O48="",P48=""),"",O48-P48)</f>
        <v/>
      </c>
      <c r="R48" s="40" t="n"/>
      <c r="S48" s="40" t="n"/>
      <c r="T48" s="58" t="n"/>
      <c r="U48" s="42" t="n"/>
      <c r="V48" s="55" t="str">
        <f>IF(OR(U48="",T48=""),"",U48-T48)</f>
        <v/>
      </c>
      <c r="W48" s="40" t="n"/>
      <c r="X48" s="42" t="n"/>
      <c r="Y48" s="40" t="n"/>
      <c r="Z48" s="32" t="str">
        <f>IF(C48="","",IF(OR(W48="Ordered",W48="Received",W48="Installed"),"Ordered",IF(AND(I48&lt;&gt;"",J48&lt;&gt;"",L48&lt;&gt;"",R48&lt;&gt;"",T48&lt;&gt;"",X48&lt;&gt;""),"READY","Missing: "&amp;_xlfn.TEXTJOIN(", ",TRUE,IF(I48="","model",""),IF(J48="","finish",""),IF(L48="","qty",""),IF(R48="","supplier",""),IF(T48="","lead time",""),IF(X48="","approval","")))))</f>
        <v/>
      </c>
      <c r="AA48" s="54" t="str">
        <f>IF(C48="","",IF(OR(W48="Ordered",W48="Received",W48="Installed"),"",IF(AND(G48&lt;&gt;"",X48="",G48&lt;TODAY()),"DECISION OVERDUE",IF(V48="","",IF(V48&lt;TODAY(),"ORDER OVERDUE",IF(V48-TODAY()&lt;=14,"ORDER SOON",""))))))</f>
        <v/>
      </c>
      <c r="AB48" s="35" t="str">
        <f>IF(Q48="","",IF(AND(X48="",Q48&gt;0),Q48,""))</f>
        <v/>
      </c>
      <c r="AC48" s="59" t="n"/>
      <c r="AD48" s="59" t="n"/>
      <c r="AE48" s="60" t="str">
        <f>IF(AND(C48&lt;&gt;"",B48='Client Sign-Off'!$D$7),COUNTIFS($B$6:B48,'Client Sign-Off'!$D$7,$C$6:C48,"?*"),"")</f>
        <v/>
      </c>
    </row>
    <row r="49" ht="18" customHeight="1">
      <c r="A49" s="54" t="str">
        <f>IF(C49="","",ROW()-5)</f>
        <v/>
      </c>
      <c r="B49" s="40" t="n"/>
      <c r="C49" s="40" t="n"/>
      <c r="D49" s="40" t="n"/>
      <c r="E49" s="40" t="n"/>
      <c r="F49" s="40" t="n"/>
      <c r="G49" s="55" t="str">
        <f>IF(F49="","",IFERROR(IF(INDEX(Project!$C$24:$C$27,MATCH(F49,Project!$B$24:$B$27,0))="","",INDEX(Project!$C$24:$C$27,MATCH(F49,Project!$B$24:$B$27,0))),""))</f>
        <v/>
      </c>
      <c r="H49" s="40" t="n"/>
      <c r="I49" s="40" t="n"/>
      <c r="J49" s="40" t="n"/>
      <c r="K49" s="40" t="n"/>
      <c r="L49" s="56" t="n"/>
      <c r="M49" s="40" t="n"/>
      <c r="N49" s="57" t="n"/>
      <c r="O49" s="35" t="str">
        <f>IF(OR(L49="",N49=""),"",L49*N49)</f>
        <v/>
      </c>
      <c r="P49" s="43" t="n"/>
      <c r="Q49" s="36" t="str">
        <f>IF(OR(O49="",P49=""),"",O49-P49)</f>
        <v/>
      </c>
      <c r="R49" s="40" t="n"/>
      <c r="S49" s="40" t="n"/>
      <c r="T49" s="58" t="n"/>
      <c r="U49" s="42" t="n"/>
      <c r="V49" s="55" t="str">
        <f>IF(OR(U49="",T49=""),"",U49-T49)</f>
        <v/>
      </c>
      <c r="W49" s="40" t="n"/>
      <c r="X49" s="42" t="n"/>
      <c r="Y49" s="40" t="n"/>
      <c r="Z49" s="32" t="str">
        <f>IF(C49="","",IF(OR(W49="Ordered",W49="Received",W49="Installed"),"Ordered",IF(AND(I49&lt;&gt;"",J49&lt;&gt;"",L49&lt;&gt;"",R49&lt;&gt;"",T49&lt;&gt;"",X49&lt;&gt;""),"READY","Missing: "&amp;_xlfn.TEXTJOIN(", ",TRUE,IF(I49="","model",""),IF(J49="","finish",""),IF(L49="","qty",""),IF(R49="","supplier",""),IF(T49="","lead time",""),IF(X49="","approval","")))))</f>
        <v/>
      </c>
      <c r="AA49" s="54" t="str">
        <f>IF(C49="","",IF(OR(W49="Ordered",W49="Received",W49="Installed"),"",IF(AND(G49&lt;&gt;"",X49="",G49&lt;TODAY()),"DECISION OVERDUE",IF(V49="","",IF(V49&lt;TODAY(),"ORDER OVERDUE",IF(V49-TODAY()&lt;=14,"ORDER SOON",""))))))</f>
        <v/>
      </c>
      <c r="AB49" s="35" t="str">
        <f>IF(Q49="","",IF(AND(X49="",Q49&gt;0),Q49,""))</f>
        <v/>
      </c>
      <c r="AC49" s="59" t="n"/>
      <c r="AD49" s="59" t="n"/>
      <c r="AE49" s="60" t="str">
        <f>IF(AND(C49&lt;&gt;"",B49='Client Sign-Off'!$D$7),COUNTIFS($B$6:B49,'Client Sign-Off'!$D$7,$C$6:C49,"?*"),"")</f>
        <v/>
      </c>
    </row>
    <row r="50" ht="18" customHeight="1">
      <c r="A50" s="54" t="str">
        <f>IF(C50="","",ROW()-5)</f>
        <v/>
      </c>
      <c r="B50" s="40" t="n"/>
      <c r="C50" s="40" t="n"/>
      <c r="D50" s="40" t="n"/>
      <c r="E50" s="40" t="n"/>
      <c r="F50" s="40" t="n"/>
      <c r="G50" s="55" t="str">
        <f>IF(F50="","",IFERROR(IF(INDEX(Project!$C$24:$C$27,MATCH(F50,Project!$B$24:$B$27,0))="","",INDEX(Project!$C$24:$C$27,MATCH(F50,Project!$B$24:$B$27,0))),""))</f>
        <v/>
      </c>
      <c r="H50" s="40" t="n"/>
      <c r="I50" s="40" t="n"/>
      <c r="J50" s="40" t="n"/>
      <c r="K50" s="40" t="n"/>
      <c r="L50" s="56" t="n"/>
      <c r="M50" s="40" t="n"/>
      <c r="N50" s="57" t="n"/>
      <c r="O50" s="35" t="str">
        <f>IF(OR(L50="",N50=""),"",L50*N50)</f>
        <v/>
      </c>
      <c r="P50" s="43" t="n"/>
      <c r="Q50" s="36" t="str">
        <f>IF(OR(O50="",P50=""),"",O50-P50)</f>
        <v/>
      </c>
      <c r="R50" s="40" t="n"/>
      <c r="S50" s="40" t="n"/>
      <c r="T50" s="58" t="n"/>
      <c r="U50" s="42" t="n"/>
      <c r="V50" s="55" t="str">
        <f>IF(OR(U50="",T50=""),"",U50-T50)</f>
        <v/>
      </c>
      <c r="W50" s="40" t="n"/>
      <c r="X50" s="42" t="n"/>
      <c r="Y50" s="40" t="n"/>
      <c r="Z50" s="32" t="str">
        <f>IF(C50="","",IF(OR(W50="Ordered",W50="Received",W50="Installed"),"Ordered",IF(AND(I50&lt;&gt;"",J50&lt;&gt;"",L50&lt;&gt;"",R50&lt;&gt;"",T50&lt;&gt;"",X50&lt;&gt;""),"READY","Missing: "&amp;_xlfn.TEXTJOIN(", ",TRUE,IF(I50="","model",""),IF(J50="","finish",""),IF(L50="","qty",""),IF(R50="","supplier",""),IF(T50="","lead time",""),IF(X50="","approval","")))))</f>
        <v/>
      </c>
      <c r="AA50" s="54" t="str">
        <f>IF(C50="","",IF(OR(W50="Ordered",W50="Received",W50="Installed"),"",IF(AND(G50&lt;&gt;"",X50="",G50&lt;TODAY()),"DECISION OVERDUE",IF(V50="","",IF(V50&lt;TODAY(),"ORDER OVERDUE",IF(V50-TODAY()&lt;=14,"ORDER SOON",""))))))</f>
        <v/>
      </c>
      <c r="AB50" s="35" t="str">
        <f>IF(Q50="","",IF(AND(X50="",Q50&gt;0),Q50,""))</f>
        <v/>
      </c>
      <c r="AC50" s="59" t="n"/>
      <c r="AD50" s="59" t="n"/>
      <c r="AE50" s="60" t="str">
        <f>IF(AND(C50&lt;&gt;"",B50='Client Sign-Off'!$D$7),COUNTIFS($B$6:B50,'Client Sign-Off'!$D$7,$C$6:C50,"?*"),"")</f>
        <v/>
      </c>
    </row>
    <row r="51" ht="18" customHeight="1">
      <c r="A51" s="54" t="str">
        <f>IF(C51="","",ROW()-5)</f>
        <v/>
      </c>
      <c r="B51" s="40" t="n"/>
      <c r="C51" s="40" t="n"/>
      <c r="D51" s="40" t="n"/>
      <c r="E51" s="40" t="n"/>
      <c r="F51" s="40" t="n"/>
      <c r="G51" s="55" t="str">
        <f>IF(F51="","",IFERROR(IF(INDEX(Project!$C$24:$C$27,MATCH(F51,Project!$B$24:$B$27,0))="","",INDEX(Project!$C$24:$C$27,MATCH(F51,Project!$B$24:$B$27,0))),""))</f>
        <v/>
      </c>
      <c r="H51" s="40" t="n"/>
      <c r="I51" s="40" t="n"/>
      <c r="J51" s="40" t="n"/>
      <c r="K51" s="40" t="n"/>
      <c r="L51" s="56" t="n"/>
      <c r="M51" s="40" t="n"/>
      <c r="N51" s="57" t="n"/>
      <c r="O51" s="35" t="str">
        <f>IF(OR(L51="",N51=""),"",L51*N51)</f>
        <v/>
      </c>
      <c r="P51" s="43" t="n"/>
      <c r="Q51" s="36" t="str">
        <f>IF(OR(O51="",P51=""),"",O51-P51)</f>
        <v/>
      </c>
      <c r="R51" s="40" t="n"/>
      <c r="S51" s="40" t="n"/>
      <c r="T51" s="58" t="n"/>
      <c r="U51" s="42" t="n"/>
      <c r="V51" s="55" t="str">
        <f>IF(OR(U51="",T51=""),"",U51-T51)</f>
        <v/>
      </c>
      <c r="W51" s="40" t="n"/>
      <c r="X51" s="42" t="n"/>
      <c r="Y51" s="40" t="n"/>
      <c r="Z51" s="32" t="str">
        <f>IF(C51="","",IF(OR(W51="Ordered",W51="Received",W51="Installed"),"Ordered",IF(AND(I51&lt;&gt;"",J51&lt;&gt;"",L51&lt;&gt;"",R51&lt;&gt;"",T51&lt;&gt;"",X51&lt;&gt;""),"READY","Missing: "&amp;_xlfn.TEXTJOIN(", ",TRUE,IF(I51="","model",""),IF(J51="","finish",""),IF(L51="","qty",""),IF(R51="","supplier",""),IF(T51="","lead time",""),IF(X51="","approval","")))))</f>
        <v/>
      </c>
      <c r="AA51" s="54" t="str">
        <f>IF(C51="","",IF(OR(W51="Ordered",W51="Received",W51="Installed"),"",IF(AND(G51&lt;&gt;"",X51="",G51&lt;TODAY()),"DECISION OVERDUE",IF(V51="","",IF(V51&lt;TODAY(),"ORDER OVERDUE",IF(V51-TODAY()&lt;=14,"ORDER SOON",""))))))</f>
        <v/>
      </c>
      <c r="AB51" s="35" t="str">
        <f>IF(Q51="","",IF(AND(X51="",Q51&gt;0),Q51,""))</f>
        <v/>
      </c>
      <c r="AC51" s="59" t="n"/>
      <c r="AD51" s="59" t="n"/>
      <c r="AE51" s="60" t="str">
        <f>IF(AND(C51&lt;&gt;"",B51='Client Sign-Off'!$D$7),COUNTIFS($B$6:B51,'Client Sign-Off'!$D$7,$C$6:C51,"?*"),"")</f>
        <v/>
      </c>
    </row>
    <row r="52" ht="18" customHeight="1">
      <c r="A52" s="54" t="str">
        <f>IF(C52="","",ROW()-5)</f>
        <v/>
      </c>
      <c r="B52" s="40" t="n"/>
      <c r="C52" s="40" t="n"/>
      <c r="D52" s="40" t="n"/>
      <c r="E52" s="40" t="n"/>
      <c r="F52" s="40" t="n"/>
      <c r="G52" s="55" t="str">
        <f>IF(F52="","",IFERROR(IF(INDEX(Project!$C$24:$C$27,MATCH(F52,Project!$B$24:$B$27,0))="","",INDEX(Project!$C$24:$C$27,MATCH(F52,Project!$B$24:$B$27,0))),""))</f>
        <v/>
      </c>
      <c r="H52" s="40" t="n"/>
      <c r="I52" s="40" t="n"/>
      <c r="J52" s="40" t="n"/>
      <c r="K52" s="40" t="n"/>
      <c r="L52" s="56" t="n"/>
      <c r="M52" s="40" t="n"/>
      <c r="N52" s="57" t="n"/>
      <c r="O52" s="35" t="str">
        <f>IF(OR(L52="",N52=""),"",L52*N52)</f>
        <v/>
      </c>
      <c r="P52" s="43" t="n"/>
      <c r="Q52" s="36" t="str">
        <f>IF(OR(O52="",P52=""),"",O52-P52)</f>
        <v/>
      </c>
      <c r="R52" s="40" t="n"/>
      <c r="S52" s="40" t="n"/>
      <c r="T52" s="58" t="n"/>
      <c r="U52" s="42" t="n"/>
      <c r="V52" s="55" t="str">
        <f>IF(OR(U52="",T52=""),"",U52-T52)</f>
        <v/>
      </c>
      <c r="W52" s="40" t="n"/>
      <c r="X52" s="42" t="n"/>
      <c r="Y52" s="40" t="n"/>
      <c r="Z52" s="32" t="str">
        <f>IF(C52="","",IF(OR(W52="Ordered",W52="Received",W52="Installed"),"Ordered",IF(AND(I52&lt;&gt;"",J52&lt;&gt;"",L52&lt;&gt;"",R52&lt;&gt;"",T52&lt;&gt;"",X52&lt;&gt;""),"READY","Missing: "&amp;_xlfn.TEXTJOIN(", ",TRUE,IF(I52="","model",""),IF(J52="","finish",""),IF(L52="","qty",""),IF(R52="","supplier",""),IF(T52="","lead time",""),IF(X52="","approval","")))))</f>
        <v/>
      </c>
      <c r="AA52" s="54" t="str">
        <f>IF(C52="","",IF(OR(W52="Ordered",W52="Received",W52="Installed"),"",IF(AND(G52&lt;&gt;"",X52="",G52&lt;TODAY()),"DECISION OVERDUE",IF(V52="","",IF(V52&lt;TODAY(),"ORDER OVERDUE",IF(V52-TODAY()&lt;=14,"ORDER SOON",""))))))</f>
        <v/>
      </c>
      <c r="AB52" s="35" t="str">
        <f>IF(Q52="","",IF(AND(X52="",Q52&gt;0),Q52,""))</f>
        <v/>
      </c>
      <c r="AC52" s="59" t="n"/>
      <c r="AD52" s="59" t="n"/>
      <c r="AE52" s="60" t="str">
        <f>IF(AND(C52&lt;&gt;"",B52='Client Sign-Off'!$D$7),COUNTIFS($B$6:B52,'Client Sign-Off'!$D$7,$C$6:C52,"?*"),"")</f>
        <v/>
      </c>
    </row>
    <row r="53" ht="18" customHeight="1">
      <c r="A53" s="54" t="str">
        <f>IF(C53="","",ROW()-5)</f>
        <v/>
      </c>
      <c r="B53" s="40" t="n"/>
      <c r="C53" s="40" t="n"/>
      <c r="D53" s="40" t="n"/>
      <c r="E53" s="40" t="n"/>
      <c r="F53" s="40" t="n"/>
      <c r="G53" s="55" t="str">
        <f>IF(F53="","",IFERROR(IF(INDEX(Project!$C$24:$C$27,MATCH(F53,Project!$B$24:$B$27,0))="","",INDEX(Project!$C$24:$C$27,MATCH(F53,Project!$B$24:$B$27,0))),""))</f>
        <v/>
      </c>
      <c r="H53" s="40" t="n"/>
      <c r="I53" s="40" t="n"/>
      <c r="J53" s="40" t="n"/>
      <c r="K53" s="40" t="n"/>
      <c r="L53" s="56" t="n"/>
      <c r="M53" s="40" t="n"/>
      <c r="N53" s="57" t="n"/>
      <c r="O53" s="35" t="str">
        <f>IF(OR(L53="",N53=""),"",L53*N53)</f>
        <v/>
      </c>
      <c r="P53" s="43" t="n"/>
      <c r="Q53" s="36" t="str">
        <f>IF(OR(O53="",P53=""),"",O53-P53)</f>
        <v/>
      </c>
      <c r="R53" s="40" t="n"/>
      <c r="S53" s="40" t="n"/>
      <c r="T53" s="58" t="n"/>
      <c r="U53" s="42" t="n"/>
      <c r="V53" s="55" t="str">
        <f>IF(OR(U53="",T53=""),"",U53-T53)</f>
        <v/>
      </c>
      <c r="W53" s="40" t="n"/>
      <c r="X53" s="42" t="n"/>
      <c r="Y53" s="40" t="n"/>
      <c r="Z53" s="32" t="str">
        <f>IF(C53="","",IF(OR(W53="Ordered",W53="Received",W53="Installed"),"Ordered",IF(AND(I53&lt;&gt;"",J53&lt;&gt;"",L53&lt;&gt;"",R53&lt;&gt;"",T53&lt;&gt;"",X53&lt;&gt;""),"READY","Missing: "&amp;_xlfn.TEXTJOIN(", ",TRUE,IF(I53="","model",""),IF(J53="","finish",""),IF(L53="","qty",""),IF(R53="","supplier",""),IF(T53="","lead time",""),IF(X53="","approval","")))))</f>
        <v/>
      </c>
      <c r="AA53" s="54" t="str">
        <f>IF(C53="","",IF(OR(W53="Ordered",W53="Received",W53="Installed"),"",IF(AND(G53&lt;&gt;"",X53="",G53&lt;TODAY()),"DECISION OVERDUE",IF(V53="","",IF(V53&lt;TODAY(),"ORDER OVERDUE",IF(V53-TODAY()&lt;=14,"ORDER SOON",""))))))</f>
        <v/>
      </c>
      <c r="AB53" s="35" t="str">
        <f>IF(Q53="","",IF(AND(X53="",Q53&gt;0),Q53,""))</f>
        <v/>
      </c>
      <c r="AC53" s="59" t="n"/>
      <c r="AD53" s="59" t="n"/>
      <c r="AE53" s="60" t="str">
        <f>IF(AND(C53&lt;&gt;"",B53='Client Sign-Off'!$D$7),COUNTIFS($B$6:B53,'Client Sign-Off'!$D$7,$C$6:C53,"?*"),"")</f>
        <v/>
      </c>
    </row>
    <row r="54" ht="18" customHeight="1">
      <c r="A54" s="54" t="str">
        <f>IF(C54="","",ROW()-5)</f>
        <v/>
      </c>
      <c r="B54" s="40" t="n"/>
      <c r="C54" s="40" t="n"/>
      <c r="D54" s="40" t="n"/>
      <c r="E54" s="40" t="n"/>
      <c r="F54" s="40" t="n"/>
      <c r="G54" s="55" t="str">
        <f>IF(F54="","",IFERROR(IF(INDEX(Project!$C$24:$C$27,MATCH(F54,Project!$B$24:$B$27,0))="","",INDEX(Project!$C$24:$C$27,MATCH(F54,Project!$B$24:$B$27,0))),""))</f>
        <v/>
      </c>
      <c r="H54" s="40" t="n"/>
      <c r="I54" s="40" t="n"/>
      <c r="J54" s="40" t="n"/>
      <c r="K54" s="40" t="n"/>
      <c r="L54" s="56" t="n"/>
      <c r="M54" s="40" t="n"/>
      <c r="N54" s="57" t="n"/>
      <c r="O54" s="35" t="str">
        <f>IF(OR(L54="",N54=""),"",L54*N54)</f>
        <v/>
      </c>
      <c r="P54" s="43" t="n"/>
      <c r="Q54" s="36" t="str">
        <f>IF(OR(O54="",P54=""),"",O54-P54)</f>
        <v/>
      </c>
      <c r="R54" s="40" t="n"/>
      <c r="S54" s="40" t="n"/>
      <c r="T54" s="58" t="n"/>
      <c r="U54" s="42" t="n"/>
      <c r="V54" s="55" t="str">
        <f>IF(OR(U54="",T54=""),"",U54-T54)</f>
        <v/>
      </c>
      <c r="W54" s="40" t="n"/>
      <c r="X54" s="42" t="n"/>
      <c r="Y54" s="40" t="n"/>
      <c r="Z54" s="32" t="str">
        <f>IF(C54="","",IF(OR(W54="Ordered",W54="Received",W54="Installed"),"Ordered",IF(AND(I54&lt;&gt;"",J54&lt;&gt;"",L54&lt;&gt;"",R54&lt;&gt;"",T54&lt;&gt;"",X54&lt;&gt;""),"READY","Missing: "&amp;_xlfn.TEXTJOIN(", ",TRUE,IF(I54="","model",""),IF(J54="","finish",""),IF(L54="","qty",""),IF(R54="","supplier",""),IF(T54="","lead time",""),IF(X54="","approval","")))))</f>
        <v/>
      </c>
      <c r="AA54" s="54" t="str">
        <f>IF(C54="","",IF(OR(W54="Ordered",W54="Received",W54="Installed"),"",IF(AND(G54&lt;&gt;"",X54="",G54&lt;TODAY()),"DECISION OVERDUE",IF(V54="","",IF(V54&lt;TODAY(),"ORDER OVERDUE",IF(V54-TODAY()&lt;=14,"ORDER SOON",""))))))</f>
        <v/>
      </c>
      <c r="AB54" s="35" t="str">
        <f>IF(Q54="","",IF(AND(X54="",Q54&gt;0),Q54,""))</f>
        <v/>
      </c>
      <c r="AC54" s="59" t="n"/>
      <c r="AD54" s="59" t="n"/>
      <c r="AE54" s="60" t="str">
        <f>IF(AND(C54&lt;&gt;"",B54='Client Sign-Off'!$D$7),COUNTIFS($B$6:B54,'Client Sign-Off'!$D$7,$C$6:C54,"?*"),"")</f>
        <v/>
      </c>
    </row>
    <row r="55" ht="18" customHeight="1">
      <c r="A55" s="54" t="str">
        <f>IF(C55="","",ROW()-5)</f>
        <v/>
      </c>
      <c r="B55" s="40" t="n"/>
      <c r="C55" s="40" t="n"/>
      <c r="D55" s="40" t="n"/>
      <c r="E55" s="40" t="n"/>
      <c r="F55" s="40" t="n"/>
      <c r="G55" s="55" t="str">
        <f>IF(F55="","",IFERROR(IF(INDEX(Project!$C$24:$C$27,MATCH(F55,Project!$B$24:$B$27,0))="","",INDEX(Project!$C$24:$C$27,MATCH(F55,Project!$B$24:$B$27,0))),""))</f>
        <v/>
      </c>
      <c r="H55" s="40" t="n"/>
      <c r="I55" s="40" t="n"/>
      <c r="J55" s="40" t="n"/>
      <c r="K55" s="40" t="n"/>
      <c r="L55" s="56" t="n"/>
      <c r="M55" s="40" t="n"/>
      <c r="N55" s="57" t="n"/>
      <c r="O55" s="35" t="str">
        <f>IF(OR(L55="",N55=""),"",L55*N55)</f>
        <v/>
      </c>
      <c r="P55" s="43" t="n"/>
      <c r="Q55" s="36" t="str">
        <f>IF(OR(O55="",P55=""),"",O55-P55)</f>
        <v/>
      </c>
      <c r="R55" s="40" t="n"/>
      <c r="S55" s="40" t="n"/>
      <c r="T55" s="58" t="n"/>
      <c r="U55" s="42" t="n"/>
      <c r="V55" s="55" t="str">
        <f>IF(OR(U55="",T55=""),"",U55-T55)</f>
        <v/>
      </c>
      <c r="W55" s="40" t="n"/>
      <c r="X55" s="42" t="n"/>
      <c r="Y55" s="40" t="n"/>
      <c r="Z55" s="32" t="str">
        <f>IF(C55="","",IF(OR(W55="Ordered",W55="Received",W55="Installed"),"Ordered",IF(AND(I55&lt;&gt;"",J55&lt;&gt;"",L55&lt;&gt;"",R55&lt;&gt;"",T55&lt;&gt;"",X55&lt;&gt;""),"READY","Missing: "&amp;_xlfn.TEXTJOIN(", ",TRUE,IF(I55="","model",""),IF(J55="","finish",""),IF(L55="","qty",""),IF(R55="","supplier",""),IF(T55="","lead time",""),IF(X55="","approval","")))))</f>
        <v/>
      </c>
      <c r="AA55" s="54" t="str">
        <f>IF(C55="","",IF(OR(W55="Ordered",W55="Received",W55="Installed"),"",IF(AND(G55&lt;&gt;"",X55="",G55&lt;TODAY()),"DECISION OVERDUE",IF(V55="","",IF(V55&lt;TODAY(),"ORDER OVERDUE",IF(V55-TODAY()&lt;=14,"ORDER SOON",""))))))</f>
        <v/>
      </c>
      <c r="AB55" s="35" t="str">
        <f>IF(Q55="","",IF(AND(X55="",Q55&gt;0),Q55,""))</f>
        <v/>
      </c>
      <c r="AC55" s="59" t="n"/>
      <c r="AD55" s="59" t="n"/>
      <c r="AE55" s="60" t="str">
        <f>IF(AND(C55&lt;&gt;"",B55='Client Sign-Off'!$D$7),COUNTIFS($B$6:B55,'Client Sign-Off'!$D$7,$C$6:C55,"?*"),"")</f>
        <v/>
      </c>
    </row>
    <row r="56" ht="18" customHeight="1">
      <c r="A56" s="54" t="str">
        <f>IF(C56="","",ROW()-5)</f>
        <v/>
      </c>
      <c r="B56" s="40" t="n"/>
      <c r="C56" s="40" t="n"/>
      <c r="D56" s="40" t="n"/>
      <c r="E56" s="40" t="n"/>
      <c r="F56" s="40" t="n"/>
      <c r="G56" s="55" t="str">
        <f>IF(F56="","",IFERROR(IF(INDEX(Project!$C$24:$C$27,MATCH(F56,Project!$B$24:$B$27,0))="","",INDEX(Project!$C$24:$C$27,MATCH(F56,Project!$B$24:$B$27,0))),""))</f>
        <v/>
      </c>
      <c r="H56" s="40" t="n"/>
      <c r="I56" s="40" t="n"/>
      <c r="J56" s="40" t="n"/>
      <c r="K56" s="40" t="n"/>
      <c r="L56" s="56" t="n"/>
      <c r="M56" s="40" t="n"/>
      <c r="N56" s="57" t="n"/>
      <c r="O56" s="35" t="str">
        <f>IF(OR(L56="",N56=""),"",L56*N56)</f>
        <v/>
      </c>
      <c r="P56" s="43" t="n"/>
      <c r="Q56" s="36" t="str">
        <f>IF(OR(O56="",P56=""),"",O56-P56)</f>
        <v/>
      </c>
      <c r="R56" s="40" t="n"/>
      <c r="S56" s="40" t="n"/>
      <c r="T56" s="58" t="n"/>
      <c r="U56" s="42" t="n"/>
      <c r="V56" s="55" t="str">
        <f>IF(OR(U56="",T56=""),"",U56-T56)</f>
        <v/>
      </c>
      <c r="W56" s="40" t="n"/>
      <c r="X56" s="42" t="n"/>
      <c r="Y56" s="40" t="n"/>
      <c r="Z56" s="32" t="str">
        <f>IF(C56="","",IF(OR(W56="Ordered",W56="Received",W56="Installed"),"Ordered",IF(AND(I56&lt;&gt;"",J56&lt;&gt;"",L56&lt;&gt;"",R56&lt;&gt;"",T56&lt;&gt;"",X56&lt;&gt;""),"READY","Missing: "&amp;_xlfn.TEXTJOIN(", ",TRUE,IF(I56="","model",""),IF(J56="","finish",""),IF(L56="","qty",""),IF(R56="","supplier",""),IF(T56="","lead time",""),IF(X56="","approval","")))))</f>
        <v/>
      </c>
      <c r="AA56" s="54" t="str">
        <f>IF(C56="","",IF(OR(W56="Ordered",W56="Received",W56="Installed"),"",IF(AND(G56&lt;&gt;"",X56="",G56&lt;TODAY()),"DECISION OVERDUE",IF(V56="","",IF(V56&lt;TODAY(),"ORDER OVERDUE",IF(V56-TODAY()&lt;=14,"ORDER SOON",""))))))</f>
        <v/>
      </c>
      <c r="AB56" s="35" t="str">
        <f>IF(Q56="","",IF(AND(X56="",Q56&gt;0),Q56,""))</f>
        <v/>
      </c>
      <c r="AC56" s="59" t="n"/>
      <c r="AD56" s="59" t="n"/>
      <c r="AE56" s="60" t="str">
        <f>IF(AND(C56&lt;&gt;"",B56='Client Sign-Off'!$D$7),COUNTIFS($B$6:B56,'Client Sign-Off'!$D$7,$C$6:C56,"?*"),"")</f>
        <v/>
      </c>
    </row>
    <row r="57" ht="18" customHeight="1">
      <c r="A57" s="54" t="str">
        <f>IF(C57="","",ROW()-5)</f>
        <v/>
      </c>
      <c r="B57" s="40" t="n"/>
      <c r="C57" s="40" t="n"/>
      <c r="D57" s="40" t="n"/>
      <c r="E57" s="40" t="n"/>
      <c r="F57" s="40" t="n"/>
      <c r="G57" s="55" t="str">
        <f>IF(F57="","",IFERROR(IF(INDEX(Project!$C$24:$C$27,MATCH(F57,Project!$B$24:$B$27,0))="","",INDEX(Project!$C$24:$C$27,MATCH(F57,Project!$B$24:$B$27,0))),""))</f>
        <v/>
      </c>
      <c r="H57" s="40" t="n"/>
      <c r="I57" s="40" t="n"/>
      <c r="J57" s="40" t="n"/>
      <c r="K57" s="40" t="n"/>
      <c r="L57" s="56" t="n"/>
      <c r="M57" s="40" t="n"/>
      <c r="N57" s="57" t="n"/>
      <c r="O57" s="35" t="str">
        <f>IF(OR(L57="",N57=""),"",L57*N57)</f>
        <v/>
      </c>
      <c r="P57" s="43" t="n"/>
      <c r="Q57" s="36" t="str">
        <f>IF(OR(O57="",P57=""),"",O57-P57)</f>
        <v/>
      </c>
      <c r="R57" s="40" t="n"/>
      <c r="S57" s="40" t="n"/>
      <c r="T57" s="58" t="n"/>
      <c r="U57" s="42" t="n"/>
      <c r="V57" s="55" t="str">
        <f>IF(OR(U57="",T57=""),"",U57-T57)</f>
        <v/>
      </c>
      <c r="W57" s="40" t="n"/>
      <c r="X57" s="42" t="n"/>
      <c r="Y57" s="40" t="n"/>
      <c r="Z57" s="32" t="str">
        <f>IF(C57="","",IF(OR(W57="Ordered",W57="Received",W57="Installed"),"Ordered",IF(AND(I57&lt;&gt;"",J57&lt;&gt;"",L57&lt;&gt;"",R57&lt;&gt;"",T57&lt;&gt;"",X57&lt;&gt;""),"READY","Missing: "&amp;_xlfn.TEXTJOIN(", ",TRUE,IF(I57="","model",""),IF(J57="","finish",""),IF(L57="","qty",""),IF(R57="","supplier",""),IF(T57="","lead time",""),IF(X57="","approval","")))))</f>
        <v/>
      </c>
      <c r="AA57" s="54" t="str">
        <f>IF(C57="","",IF(OR(W57="Ordered",W57="Received",W57="Installed"),"",IF(AND(G57&lt;&gt;"",X57="",G57&lt;TODAY()),"DECISION OVERDUE",IF(V57="","",IF(V57&lt;TODAY(),"ORDER OVERDUE",IF(V57-TODAY()&lt;=14,"ORDER SOON",""))))))</f>
        <v/>
      </c>
      <c r="AB57" s="35" t="str">
        <f>IF(Q57="","",IF(AND(X57="",Q57&gt;0),Q57,""))</f>
        <v/>
      </c>
      <c r="AC57" s="59" t="n"/>
      <c r="AD57" s="59" t="n"/>
      <c r="AE57" s="60" t="str">
        <f>IF(AND(C57&lt;&gt;"",B57='Client Sign-Off'!$D$7),COUNTIFS($B$6:B57,'Client Sign-Off'!$D$7,$C$6:C57,"?*"),"")</f>
        <v/>
      </c>
    </row>
    <row r="58" ht="18" customHeight="1">
      <c r="A58" s="54" t="str">
        <f>IF(C58="","",ROW()-5)</f>
        <v/>
      </c>
      <c r="B58" s="40" t="n"/>
      <c r="C58" s="40" t="n"/>
      <c r="D58" s="40" t="n"/>
      <c r="E58" s="40" t="n"/>
      <c r="F58" s="40" t="n"/>
      <c r="G58" s="55" t="str">
        <f>IF(F58="","",IFERROR(IF(INDEX(Project!$C$24:$C$27,MATCH(F58,Project!$B$24:$B$27,0))="","",INDEX(Project!$C$24:$C$27,MATCH(F58,Project!$B$24:$B$27,0))),""))</f>
        <v/>
      </c>
      <c r="H58" s="40" t="n"/>
      <c r="I58" s="40" t="n"/>
      <c r="J58" s="40" t="n"/>
      <c r="K58" s="40" t="n"/>
      <c r="L58" s="56" t="n"/>
      <c r="M58" s="40" t="n"/>
      <c r="N58" s="57" t="n"/>
      <c r="O58" s="35" t="str">
        <f>IF(OR(L58="",N58=""),"",L58*N58)</f>
        <v/>
      </c>
      <c r="P58" s="43" t="n"/>
      <c r="Q58" s="36" t="str">
        <f>IF(OR(O58="",P58=""),"",O58-P58)</f>
        <v/>
      </c>
      <c r="R58" s="40" t="n"/>
      <c r="S58" s="40" t="n"/>
      <c r="T58" s="58" t="n"/>
      <c r="U58" s="42" t="n"/>
      <c r="V58" s="55" t="str">
        <f>IF(OR(U58="",T58=""),"",U58-T58)</f>
        <v/>
      </c>
      <c r="W58" s="40" t="n"/>
      <c r="X58" s="42" t="n"/>
      <c r="Y58" s="40" t="n"/>
      <c r="Z58" s="32" t="str">
        <f>IF(C58="","",IF(OR(W58="Ordered",W58="Received",W58="Installed"),"Ordered",IF(AND(I58&lt;&gt;"",J58&lt;&gt;"",L58&lt;&gt;"",R58&lt;&gt;"",T58&lt;&gt;"",X58&lt;&gt;""),"READY","Missing: "&amp;_xlfn.TEXTJOIN(", ",TRUE,IF(I58="","model",""),IF(J58="","finish",""),IF(L58="","qty",""),IF(R58="","supplier",""),IF(T58="","lead time",""),IF(X58="","approval","")))))</f>
        <v/>
      </c>
      <c r="AA58" s="54" t="str">
        <f>IF(C58="","",IF(OR(W58="Ordered",W58="Received",W58="Installed"),"",IF(AND(G58&lt;&gt;"",X58="",G58&lt;TODAY()),"DECISION OVERDUE",IF(V58="","",IF(V58&lt;TODAY(),"ORDER OVERDUE",IF(V58-TODAY()&lt;=14,"ORDER SOON",""))))))</f>
        <v/>
      </c>
      <c r="AB58" s="35" t="str">
        <f>IF(Q58="","",IF(AND(X58="",Q58&gt;0),Q58,""))</f>
        <v/>
      </c>
      <c r="AC58" s="59" t="n"/>
      <c r="AD58" s="59" t="n"/>
      <c r="AE58" s="60" t="str">
        <f>IF(AND(C58&lt;&gt;"",B58='Client Sign-Off'!$D$7),COUNTIFS($B$6:B58,'Client Sign-Off'!$D$7,$C$6:C58,"?*"),"")</f>
        <v/>
      </c>
    </row>
    <row r="59" ht="18" customHeight="1">
      <c r="A59" s="54" t="str">
        <f>IF(C59="","",ROW()-5)</f>
        <v/>
      </c>
      <c r="B59" s="40" t="n"/>
      <c r="C59" s="40" t="n"/>
      <c r="D59" s="40" t="n"/>
      <c r="E59" s="40" t="n"/>
      <c r="F59" s="40" t="n"/>
      <c r="G59" s="55" t="str">
        <f>IF(F59="","",IFERROR(IF(INDEX(Project!$C$24:$C$27,MATCH(F59,Project!$B$24:$B$27,0))="","",INDEX(Project!$C$24:$C$27,MATCH(F59,Project!$B$24:$B$27,0))),""))</f>
        <v/>
      </c>
      <c r="H59" s="40" t="n"/>
      <c r="I59" s="40" t="n"/>
      <c r="J59" s="40" t="n"/>
      <c r="K59" s="40" t="n"/>
      <c r="L59" s="56" t="n"/>
      <c r="M59" s="40" t="n"/>
      <c r="N59" s="57" t="n"/>
      <c r="O59" s="35" t="str">
        <f>IF(OR(L59="",N59=""),"",L59*N59)</f>
        <v/>
      </c>
      <c r="P59" s="43" t="n"/>
      <c r="Q59" s="36" t="str">
        <f>IF(OR(O59="",P59=""),"",O59-P59)</f>
        <v/>
      </c>
      <c r="R59" s="40" t="n"/>
      <c r="S59" s="40" t="n"/>
      <c r="T59" s="58" t="n"/>
      <c r="U59" s="42" t="n"/>
      <c r="V59" s="55" t="str">
        <f>IF(OR(U59="",T59=""),"",U59-T59)</f>
        <v/>
      </c>
      <c r="W59" s="40" t="n"/>
      <c r="X59" s="42" t="n"/>
      <c r="Y59" s="40" t="n"/>
      <c r="Z59" s="32" t="str">
        <f>IF(C59="","",IF(OR(W59="Ordered",W59="Received",W59="Installed"),"Ordered",IF(AND(I59&lt;&gt;"",J59&lt;&gt;"",L59&lt;&gt;"",R59&lt;&gt;"",T59&lt;&gt;"",X59&lt;&gt;""),"READY","Missing: "&amp;_xlfn.TEXTJOIN(", ",TRUE,IF(I59="","model",""),IF(J59="","finish",""),IF(L59="","qty",""),IF(R59="","supplier",""),IF(T59="","lead time",""),IF(X59="","approval","")))))</f>
        <v/>
      </c>
      <c r="AA59" s="54" t="str">
        <f>IF(C59="","",IF(OR(W59="Ordered",W59="Received",W59="Installed"),"",IF(AND(G59&lt;&gt;"",X59="",G59&lt;TODAY()),"DECISION OVERDUE",IF(V59="","",IF(V59&lt;TODAY(),"ORDER OVERDUE",IF(V59-TODAY()&lt;=14,"ORDER SOON",""))))))</f>
        <v/>
      </c>
      <c r="AB59" s="35" t="str">
        <f>IF(Q59="","",IF(AND(X59="",Q59&gt;0),Q59,""))</f>
        <v/>
      </c>
      <c r="AC59" s="59" t="n"/>
      <c r="AD59" s="59" t="n"/>
      <c r="AE59" s="60" t="str">
        <f>IF(AND(C59&lt;&gt;"",B59='Client Sign-Off'!$D$7),COUNTIFS($B$6:B59,'Client Sign-Off'!$D$7,$C$6:C59,"?*"),"")</f>
        <v/>
      </c>
    </row>
    <row r="60" ht="18" customHeight="1">
      <c r="A60" s="54" t="str">
        <f>IF(C60="","",ROW()-5)</f>
        <v/>
      </c>
      <c r="B60" s="40" t="n"/>
      <c r="C60" s="40" t="n"/>
      <c r="D60" s="40" t="n"/>
      <c r="E60" s="40" t="n"/>
      <c r="F60" s="40" t="n"/>
      <c r="G60" s="55" t="str">
        <f>IF(F60="","",IFERROR(IF(INDEX(Project!$C$24:$C$27,MATCH(F60,Project!$B$24:$B$27,0))="","",INDEX(Project!$C$24:$C$27,MATCH(F60,Project!$B$24:$B$27,0))),""))</f>
        <v/>
      </c>
      <c r="H60" s="40" t="n"/>
      <c r="I60" s="40" t="n"/>
      <c r="J60" s="40" t="n"/>
      <c r="K60" s="40" t="n"/>
      <c r="L60" s="56" t="n"/>
      <c r="M60" s="40" t="n"/>
      <c r="N60" s="57" t="n"/>
      <c r="O60" s="35" t="str">
        <f>IF(OR(L60="",N60=""),"",L60*N60)</f>
        <v/>
      </c>
      <c r="P60" s="43" t="n"/>
      <c r="Q60" s="36" t="str">
        <f>IF(OR(O60="",P60=""),"",O60-P60)</f>
        <v/>
      </c>
      <c r="R60" s="40" t="n"/>
      <c r="S60" s="40" t="n"/>
      <c r="T60" s="58" t="n"/>
      <c r="U60" s="42" t="n"/>
      <c r="V60" s="55" t="str">
        <f>IF(OR(U60="",T60=""),"",U60-T60)</f>
        <v/>
      </c>
      <c r="W60" s="40" t="n"/>
      <c r="X60" s="42" t="n"/>
      <c r="Y60" s="40" t="n"/>
      <c r="Z60" s="32" t="str">
        <f>IF(C60="","",IF(OR(W60="Ordered",W60="Received",W60="Installed"),"Ordered",IF(AND(I60&lt;&gt;"",J60&lt;&gt;"",L60&lt;&gt;"",R60&lt;&gt;"",T60&lt;&gt;"",X60&lt;&gt;""),"READY","Missing: "&amp;_xlfn.TEXTJOIN(", ",TRUE,IF(I60="","model",""),IF(J60="","finish",""),IF(L60="","qty",""),IF(R60="","supplier",""),IF(T60="","lead time",""),IF(X60="","approval","")))))</f>
        <v/>
      </c>
      <c r="AA60" s="54" t="str">
        <f>IF(C60="","",IF(OR(W60="Ordered",W60="Received",W60="Installed"),"",IF(AND(G60&lt;&gt;"",X60="",G60&lt;TODAY()),"DECISION OVERDUE",IF(V60="","",IF(V60&lt;TODAY(),"ORDER OVERDUE",IF(V60-TODAY()&lt;=14,"ORDER SOON",""))))))</f>
        <v/>
      </c>
      <c r="AB60" s="35" t="str">
        <f>IF(Q60="","",IF(AND(X60="",Q60&gt;0),Q60,""))</f>
        <v/>
      </c>
      <c r="AC60" s="59" t="n"/>
      <c r="AD60" s="59" t="n"/>
      <c r="AE60" s="60" t="str">
        <f>IF(AND(C60&lt;&gt;"",B60='Client Sign-Off'!$D$7),COUNTIFS($B$6:B60,'Client Sign-Off'!$D$7,$C$6:C60,"?*"),"")</f>
        <v/>
      </c>
    </row>
    <row r="61" ht="18" customHeight="1">
      <c r="A61" s="54" t="str">
        <f>IF(C61="","",ROW()-5)</f>
        <v/>
      </c>
      <c r="B61" s="40" t="n"/>
      <c r="C61" s="40" t="n"/>
      <c r="D61" s="40" t="n"/>
      <c r="E61" s="40" t="n"/>
      <c r="F61" s="40" t="n"/>
      <c r="G61" s="55" t="str">
        <f>IF(F61="","",IFERROR(IF(INDEX(Project!$C$24:$C$27,MATCH(F61,Project!$B$24:$B$27,0))="","",INDEX(Project!$C$24:$C$27,MATCH(F61,Project!$B$24:$B$27,0))),""))</f>
        <v/>
      </c>
      <c r="H61" s="40" t="n"/>
      <c r="I61" s="40" t="n"/>
      <c r="J61" s="40" t="n"/>
      <c r="K61" s="40" t="n"/>
      <c r="L61" s="56" t="n"/>
      <c r="M61" s="40" t="n"/>
      <c r="N61" s="57" t="n"/>
      <c r="O61" s="35" t="str">
        <f>IF(OR(L61="",N61=""),"",L61*N61)</f>
        <v/>
      </c>
      <c r="P61" s="43" t="n"/>
      <c r="Q61" s="36" t="str">
        <f>IF(OR(O61="",P61=""),"",O61-P61)</f>
        <v/>
      </c>
      <c r="R61" s="40" t="n"/>
      <c r="S61" s="40" t="n"/>
      <c r="T61" s="58" t="n"/>
      <c r="U61" s="42" t="n"/>
      <c r="V61" s="55" t="str">
        <f>IF(OR(U61="",T61=""),"",U61-T61)</f>
        <v/>
      </c>
      <c r="W61" s="40" t="n"/>
      <c r="X61" s="42" t="n"/>
      <c r="Y61" s="40" t="n"/>
      <c r="Z61" s="32" t="str">
        <f>IF(C61="","",IF(OR(W61="Ordered",W61="Received",W61="Installed"),"Ordered",IF(AND(I61&lt;&gt;"",J61&lt;&gt;"",L61&lt;&gt;"",R61&lt;&gt;"",T61&lt;&gt;"",X61&lt;&gt;""),"READY","Missing: "&amp;_xlfn.TEXTJOIN(", ",TRUE,IF(I61="","model",""),IF(J61="","finish",""),IF(L61="","qty",""),IF(R61="","supplier",""),IF(T61="","lead time",""),IF(X61="","approval","")))))</f>
        <v/>
      </c>
      <c r="AA61" s="54" t="str">
        <f>IF(C61="","",IF(OR(W61="Ordered",W61="Received",W61="Installed"),"",IF(AND(G61&lt;&gt;"",X61="",G61&lt;TODAY()),"DECISION OVERDUE",IF(V61="","",IF(V61&lt;TODAY(),"ORDER OVERDUE",IF(V61-TODAY()&lt;=14,"ORDER SOON",""))))))</f>
        <v/>
      </c>
      <c r="AB61" s="35" t="str">
        <f>IF(Q61="","",IF(AND(X61="",Q61&gt;0),Q61,""))</f>
        <v/>
      </c>
      <c r="AC61" s="59" t="n"/>
      <c r="AD61" s="59" t="n"/>
      <c r="AE61" s="60" t="str">
        <f>IF(AND(C61&lt;&gt;"",B61='Client Sign-Off'!$D$7),COUNTIFS($B$6:B61,'Client Sign-Off'!$D$7,$C$6:C61,"?*"),"")</f>
        <v/>
      </c>
    </row>
    <row r="62" ht="18" customHeight="1">
      <c r="A62" s="54" t="str">
        <f>IF(C62="","",ROW()-5)</f>
        <v/>
      </c>
      <c r="B62" s="40" t="n"/>
      <c r="C62" s="40" t="n"/>
      <c r="D62" s="40" t="n"/>
      <c r="E62" s="40" t="n"/>
      <c r="F62" s="40" t="n"/>
      <c r="G62" s="55" t="str">
        <f>IF(F62="","",IFERROR(IF(INDEX(Project!$C$24:$C$27,MATCH(F62,Project!$B$24:$B$27,0))="","",INDEX(Project!$C$24:$C$27,MATCH(F62,Project!$B$24:$B$27,0))),""))</f>
        <v/>
      </c>
      <c r="H62" s="40" t="n"/>
      <c r="I62" s="40" t="n"/>
      <c r="J62" s="40" t="n"/>
      <c r="K62" s="40" t="n"/>
      <c r="L62" s="56" t="n"/>
      <c r="M62" s="40" t="n"/>
      <c r="N62" s="57" t="n"/>
      <c r="O62" s="35" t="str">
        <f>IF(OR(L62="",N62=""),"",L62*N62)</f>
        <v/>
      </c>
      <c r="P62" s="43" t="n"/>
      <c r="Q62" s="36" t="str">
        <f>IF(OR(O62="",P62=""),"",O62-P62)</f>
        <v/>
      </c>
      <c r="R62" s="40" t="n"/>
      <c r="S62" s="40" t="n"/>
      <c r="T62" s="58" t="n"/>
      <c r="U62" s="42" t="n"/>
      <c r="V62" s="55" t="str">
        <f>IF(OR(U62="",T62=""),"",U62-T62)</f>
        <v/>
      </c>
      <c r="W62" s="40" t="n"/>
      <c r="X62" s="42" t="n"/>
      <c r="Y62" s="40" t="n"/>
      <c r="Z62" s="32" t="str">
        <f>IF(C62="","",IF(OR(W62="Ordered",W62="Received",W62="Installed"),"Ordered",IF(AND(I62&lt;&gt;"",J62&lt;&gt;"",L62&lt;&gt;"",R62&lt;&gt;"",T62&lt;&gt;"",X62&lt;&gt;""),"READY","Missing: "&amp;_xlfn.TEXTJOIN(", ",TRUE,IF(I62="","model",""),IF(J62="","finish",""),IF(L62="","qty",""),IF(R62="","supplier",""),IF(T62="","lead time",""),IF(X62="","approval","")))))</f>
        <v/>
      </c>
      <c r="AA62" s="54" t="str">
        <f>IF(C62="","",IF(OR(W62="Ordered",W62="Received",W62="Installed"),"",IF(AND(G62&lt;&gt;"",X62="",G62&lt;TODAY()),"DECISION OVERDUE",IF(V62="","",IF(V62&lt;TODAY(),"ORDER OVERDUE",IF(V62-TODAY()&lt;=14,"ORDER SOON",""))))))</f>
        <v/>
      </c>
      <c r="AB62" s="35" t="str">
        <f>IF(Q62="","",IF(AND(X62="",Q62&gt;0),Q62,""))</f>
        <v/>
      </c>
      <c r="AC62" s="59" t="n"/>
      <c r="AD62" s="59" t="n"/>
      <c r="AE62" s="60" t="str">
        <f>IF(AND(C62&lt;&gt;"",B62='Client Sign-Off'!$D$7),COUNTIFS($B$6:B62,'Client Sign-Off'!$D$7,$C$6:C62,"?*"),"")</f>
        <v/>
      </c>
    </row>
    <row r="63" ht="18" customHeight="1">
      <c r="A63" s="54" t="str">
        <f>IF(C63="","",ROW()-5)</f>
        <v/>
      </c>
      <c r="B63" s="40" t="n"/>
      <c r="C63" s="40" t="n"/>
      <c r="D63" s="40" t="n"/>
      <c r="E63" s="40" t="n"/>
      <c r="F63" s="40" t="n"/>
      <c r="G63" s="55" t="str">
        <f>IF(F63="","",IFERROR(IF(INDEX(Project!$C$24:$C$27,MATCH(F63,Project!$B$24:$B$27,0))="","",INDEX(Project!$C$24:$C$27,MATCH(F63,Project!$B$24:$B$27,0))),""))</f>
        <v/>
      </c>
      <c r="H63" s="40" t="n"/>
      <c r="I63" s="40" t="n"/>
      <c r="J63" s="40" t="n"/>
      <c r="K63" s="40" t="n"/>
      <c r="L63" s="56" t="n"/>
      <c r="M63" s="40" t="n"/>
      <c r="N63" s="57" t="n"/>
      <c r="O63" s="35" t="str">
        <f>IF(OR(L63="",N63=""),"",L63*N63)</f>
        <v/>
      </c>
      <c r="P63" s="43" t="n"/>
      <c r="Q63" s="36" t="str">
        <f>IF(OR(O63="",P63=""),"",O63-P63)</f>
        <v/>
      </c>
      <c r="R63" s="40" t="n"/>
      <c r="S63" s="40" t="n"/>
      <c r="T63" s="58" t="n"/>
      <c r="U63" s="42" t="n"/>
      <c r="V63" s="55" t="str">
        <f>IF(OR(U63="",T63=""),"",U63-T63)</f>
        <v/>
      </c>
      <c r="W63" s="40" t="n"/>
      <c r="X63" s="42" t="n"/>
      <c r="Y63" s="40" t="n"/>
      <c r="Z63" s="32" t="str">
        <f>IF(C63="","",IF(OR(W63="Ordered",W63="Received",W63="Installed"),"Ordered",IF(AND(I63&lt;&gt;"",J63&lt;&gt;"",L63&lt;&gt;"",R63&lt;&gt;"",T63&lt;&gt;"",X63&lt;&gt;""),"READY","Missing: "&amp;_xlfn.TEXTJOIN(", ",TRUE,IF(I63="","model",""),IF(J63="","finish",""),IF(L63="","qty",""),IF(R63="","supplier",""),IF(T63="","lead time",""),IF(X63="","approval","")))))</f>
        <v/>
      </c>
      <c r="AA63" s="54" t="str">
        <f>IF(C63="","",IF(OR(W63="Ordered",W63="Received",W63="Installed"),"",IF(AND(G63&lt;&gt;"",X63="",G63&lt;TODAY()),"DECISION OVERDUE",IF(V63="","",IF(V63&lt;TODAY(),"ORDER OVERDUE",IF(V63-TODAY()&lt;=14,"ORDER SOON",""))))))</f>
        <v/>
      </c>
      <c r="AB63" s="35" t="str">
        <f>IF(Q63="","",IF(AND(X63="",Q63&gt;0),Q63,""))</f>
        <v/>
      </c>
      <c r="AC63" s="59" t="n"/>
      <c r="AD63" s="59" t="n"/>
      <c r="AE63" s="60" t="str">
        <f>IF(AND(C63&lt;&gt;"",B63='Client Sign-Off'!$D$7),COUNTIFS($B$6:B63,'Client Sign-Off'!$D$7,$C$6:C63,"?*"),"")</f>
        <v/>
      </c>
    </row>
    <row r="64" ht="18" customHeight="1">
      <c r="A64" s="54" t="str">
        <f>IF(C64="","",ROW()-5)</f>
        <v/>
      </c>
      <c r="B64" s="40" t="n"/>
      <c r="C64" s="40" t="n"/>
      <c r="D64" s="40" t="n"/>
      <c r="E64" s="40" t="n"/>
      <c r="F64" s="40" t="n"/>
      <c r="G64" s="55" t="str">
        <f>IF(F64="","",IFERROR(IF(INDEX(Project!$C$24:$C$27,MATCH(F64,Project!$B$24:$B$27,0))="","",INDEX(Project!$C$24:$C$27,MATCH(F64,Project!$B$24:$B$27,0))),""))</f>
        <v/>
      </c>
      <c r="H64" s="40" t="n"/>
      <c r="I64" s="40" t="n"/>
      <c r="J64" s="40" t="n"/>
      <c r="K64" s="40" t="n"/>
      <c r="L64" s="56" t="n"/>
      <c r="M64" s="40" t="n"/>
      <c r="N64" s="57" t="n"/>
      <c r="O64" s="35" t="str">
        <f>IF(OR(L64="",N64=""),"",L64*N64)</f>
        <v/>
      </c>
      <c r="P64" s="43" t="n"/>
      <c r="Q64" s="36" t="str">
        <f>IF(OR(O64="",P64=""),"",O64-P64)</f>
        <v/>
      </c>
      <c r="R64" s="40" t="n"/>
      <c r="S64" s="40" t="n"/>
      <c r="T64" s="58" t="n"/>
      <c r="U64" s="42" t="n"/>
      <c r="V64" s="55" t="str">
        <f>IF(OR(U64="",T64=""),"",U64-T64)</f>
        <v/>
      </c>
      <c r="W64" s="40" t="n"/>
      <c r="X64" s="42" t="n"/>
      <c r="Y64" s="40" t="n"/>
      <c r="Z64" s="32" t="str">
        <f>IF(C64="","",IF(OR(W64="Ordered",W64="Received",W64="Installed"),"Ordered",IF(AND(I64&lt;&gt;"",J64&lt;&gt;"",L64&lt;&gt;"",R64&lt;&gt;"",T64&lt;&gt;"",X64&lt;&gt;""),"READY","Missing: "&amp;_xlfn.TEXTJOIN(", ",TRUE,IF(I64="","model",""),IF(J64="","finish",""),IF(L64="","qty",""),IF(R64="","supplier",""),IF(T64="","lead time",""),IF(X64="","approval","")))))</f>
        <v/>
      </c>
      <c r="AA64" s="54" t="str">
        <f>IF(C64="","",IF(OR(W64="Ordered",W64="Received",W64="Installed"),"",IF(AND(G64&lt;&gt;"",X64="",G64&lt;TODAY()),"DECISION OVERDUE",IF(V64="","",IF(V64&lt;TODAY(),"ORDER OVERDUE",IF(V64-TODAY()&lt;=14,"ORDER SOON",""))))))</f>
        <v/>
      </c>
      <c r="AB64" s="35" t="str">
        <f>IF(Q64="","",IF(AND(X64="",Q64&gt;0),Q64,""))</f>
        <v/>
      </c>
      <c r="AC64" s="59" t="n"/>
      <c r="AD64" s="59" t="n"/>
      <c r="AE64" s="60" t="str">
        <f>IF(AND(C64&lt;&gt;"",B64='Client Sign-Off'!$D$7),COUNTIFS($B$6:B64,'Client Sign-Off'!$D$7,$C$6:C64,"?*"),"")</f>
        <v/>
      </c>
    </row>
    <row r="65" ht="18" customHeight="1">
      <c r="A65" s="54" t="str">
        <f>IF(C65="","",ROW()-5)</f>
        <v/>
      </c>
      <c r="B65" s="40" t="n"/>
      <c r="C65" s="40" t="n"/>
      <c r="D65" s="40" t="n"/>
      <c r="E65" s="40" t="n"/>
      <c r="F65" s="40" t="n"/>
      <c r="G65" s="55" t="str">
        <f>IF(F65="","",IFERROR(IF(INDEX(Project!$C$24:$C$27,MATCH(F65,Project!$B$24:$B$27,0))="","",INDEX(Project!$C$24:$C$27,MATCH(F65,Project!$B$24:$B$27,0))),""))</f>
        <v/>
      </c>
      <c r="H65" s="40" t="n"/>
      <c r="I65" s="40" t="n"/>
      <c r="J65" s="40" t="n"/>
      <c r="K65" s="40" t="n"/>
      <c r="L65" s="56" t="n"/>
      <c r="M65" s="40" t="n"/>
      <c r="N65" s="57" t="n"/>
      <c r="O65" s="35" t="str">
        <f>IF(OR(L65="",N65=""),"",L65*N65)</f>
        <v/>
      </c>
      <c r="P65" s="43" t="n"/>
      <c r="Q65" s="36" t="str">
        <f>IF(OR(O65="",P65=""),"",O65-P65)</f>
        <v/>
      </c>
      <c r="R65" s="40" t="n"/>
      <c r="S65" s="40" t="n"/>
      <c r="T65" s="58" t="n"/>
      <c r="U65" s="42" t="n"/>
      <c r="V65" s="55" t="str">
        <f>IF(OR(U65="",T65=""),"",U65-T65)</f>
        <v/>
      </c>
      <c r="W65" s="40" t="n"/>
      <c r="X65" s="42" t="n"/>
      <c r="Y65" s="40" t="n"/>
      <c r="Z65" s="32" t="str">
        <f>IF(C65="","",IF(OR(W65="Ordered",W65="Received",W65="Installed"),"Ordered",IF(AND(I65&lt;&gt;"",J65&lt;&gt;"",L65&lt;&gt;"",R65&lt;&gt;"",T65&lt;&gt;"",X65&lt;&gt;""),"READY","Missing: "&amp;_xlfn.TEXTJOIN(", ",TRUE,IF(I65="","model",""),IF(J65="","finish",""),IF(L65="","qty",""),IF(R65="","supplier",""),IF(T65="","lead time",""),IF(X65="","approval","")))))</f>
        <v/>
      </c>
      <c r="AA65" s="54" t="str">
        <f>IF(C65="","",IF(OR(W65="Ordered",W65="Received",W65="Installed"),"",IF(AND(G65&lt;&gt;"",X65="",G65&lt;TODAY()),"DECISION OVERDUE",IF(V65="","",IF(V65&lt;TODAY(),"ORDER OVERDUE",IF(V65-TODAY()&lt;=14,"ORDER SOON",""))))))</f>
        <v/>
      </c>
      <c r="AB65" s="35" t="str">
        <f>IF(Q65="","",IF(AND(X65="",Q65&gt;0),Q65,""))</f>
        <v/>
      </c>
      <c r="AC65" s="59" t="n"/>
      <c r="AD65" s="59" t="n"/>
      <c r="AE65" s="60" t="str">
        <f>IF(AND(C65&lt;&gt;"",B65='Client Sign-Off'!$D$7),COUNTIFS($B$6:B65,'Client Sign-Off'!$D$7,$C$6:C65,"?*"),"")</f>
        <v/>
      </c>
    </row>
    <row r="66" ht="18" customHeight="1">
      <c r="A66" s="54" t="str">
        <f>IF(C66="","",ROW()-5)</f>
        <v/>
      </c>
      <c r="B66" s="40" t="n"/>
      <c r="C66" s="40" t="n"/>
      <c r="D66" s="40" t="n"/>
      <c r="E66" s="40" t="n"/>
      <c r="F66" s="40" t="n"/>
      <c r="G66" s="55" t="str">
        <f>IF(F66="","",IFERROR(IF(INDEX(Project!$C$24:$C$27,MATCH(F66,Project!$B$24:$B$27,0))="","",INDEX(Project!$C$24:$C$27,MATCH(F66,Project!$B$24:$B$27,0))),""))</f>
        <v/>
      </c>
      <c r="H66" s="40" t="n"/>
      <c r="I66" s="40" t="n"/>
      <c r="J66" s="40" t="n"/>
      <c r="K66" s="40" t="n"/>
      <c r="L66" s="56" t="n"/>
      <c r="M66" s="40" t="n"/>
      <c r="N66" s="57" t="n"/>
      <c r="O66" s="35" t="str">
        <f>IF(OR(L66="",N66=""),"",L66*N66)</f>
        <v/>
      </c>
      <c r="P66" s="43" t="n"/>
      <c r="Q66" s="36" t="str">
        <f>IF(OR(O66="",P66=""),"",O66-P66)</f>
        <v/>
      </c>
      <c r="R66" s="40" t="n"/>
      <c r="S66" s="40" t="n"/>
      <c r="T66" s="58" t="n"/>
      <c r="U66" s="42" t="n"/>
      <c r="V66" s="55" t="str">
        <f>IF(OR(U66="",T66=""),"",U66-T66)</f>
        <v/>
      </c>
      <c r="W66" s="40" t="n"/>
      <c r="X66" s="42" t="n"/>
      <c r="Y66" s="40" t="n"/>
      <c r="Z66" s="32" t="str">
        <f>IF(C66="","",IF(OR(W66="Ordered",W66="Received",W66="Installed"),"Ordered",IF(AND(I66&lt;&gt;"",J66&lt;&gt;"",L66&lt;&gt;"",R66&lt;&gt;"",T66&lt;&gt;"",X66&lt;&gt;""),"READY","Missing: "&amp;_xlfn.TEXTJOIN(", ",TRUE,IF(I66="","model",""),IF(J66="","finish",""),IF(L66="","qty",""),IF(R66="","supplier",""),IF(T66="","lead time",""),IF(X66="","approval","")))))</f>
        <v/>
      </c>
      <c r="AA66" s="54" t="str">
        <f>IF(C66="","",IF(OR(W66="Ordered",W66="Received",W66="Installed"),"",IF(AND(G66&lt;&gt;"",X66="",G66&lt;TODAY()),"DECISION OVERDUE",IF(V66="","",IF(V66&lt;TODAY(),"ORDER OVERDUE",IF(V66-TODAY()&lt;=14,"ORDER SOON",""))))))</f>
        <v/>
      </c>
      <c r="AB66" s="35" t="str">
        <f>IF(Q66="","",IF(AND(X66="",Q66&gt;0),Q66,""))</f>
        <v/>
      </c>
      <c r="AC66" s="59" t="n"/>
      <c r="AD66" s="59" t="n"/>
      <c r="AE66" s="60" t="str">
        <f>IF(AND(C66&lt;&gt;"",B66='Client Sign-Off'!$D$7),COUNTIFS($B$6:B66,'Client Sign-Off'!$D$7,$C$6:C66,"?*"),"")</f>
        <v/>
      </c>
    </row>
    <row r="67" ht="18" customHeight="1">
      <c r="A67" s="54" t="str">
        <f>IF(C67="","",ROW()-5)</f>
        <v/>
      </c>
      <c r="B67" s="40" t="n"/>
      <c r="C67" s="40" t="n"/>
      <c r="D67" s="40" t="n"/>
      <c r="E67" s="40" t="n"/>
      <c r="F67" s="40" t="n"/>
      <c r="G67" s="55" t="str">
        <f>IF(F67="","",IFERROR(IF(INDEX(Project!$C$24:$C$27,MATCH(F67,Project!$B$24:$B$27,0))="","",INDEX(Project!$C$24:$C$27,MATCH(F67,Project!$B$24:$B$27,0))),""))</f>
        <v/>
      </c>
      <c r="H67" s="40" t="n"/>
      <c r="I67" s="40" t="n"/>
      <c r="J67" s="40" t="n"/>
      <c r="K67" s="40" t="n"/>
      <c r="L67" s="56" t="n"/>
      <c r="M67" s="40" t="n"/>
      <c r="N67" s="57" t="n"/>
      <c r="O67" s="35" t="str">
        <f>IF(OR(L67="",N67=""),"",L67*N67)</f>
        <v/>
      </c>
      <c r="P67" s="43" t="n"/>
      <c r="Q67" s="36" t="str">
        <f>IF(OR(O67="",P67=""),"",O67-P67)</f>
        <v/>
      </c>
      <c r="R67" s="40" t="n"/>
      <c r="S67" s="40" t="n"/>
      <c r="T67" s="58" t="n"/>
      <c r="U67" s="42" t="n"/>
      <c r="V67" s="55" t="str">
        <f>IF(OR(U67="",T67=""),"",U67-T67)</f>
        <v/>
      </c>
      <c r="W67" s="40" t="n"/>
      <c r="X67" s="42" t="n"/>
      <c r="Y67" s="40" t="n"/>
      <c r="Z67" s="32" t="str">
        <f>IF(C67="","",IF(OR(W67="Ordered",W67="Received",W67="Installed"),"Ordered",IF(AND(I67&lt;&gt;"",J67&lt;&gt;"",L67&lt;&gt;"",R67&lt;&gt;"",T67&lt;&gt;"",X67&lt;&gt;""),"READY","Missing: "&amp;_xlfn.TEXTJOIN(", ",TRUE,IF(I67="","model",""),IF(J67="","finish",""),IF(L67="","qty",""),IF(R67="","supplier",""),IF(T67="","lead time",""),IF(X67="","approval","")))))</f>
        <v/>
      </c>
      <c r="AA67" s="54" t="str">
        <f>IF(C67="","",IF(OR(W67="Ordered",W67="Received",W67="Installed"),"",IF(AND(G67&lt;&gt;"",X67="",G67&lt;TODAY()),"DECISION OVERDUE",IF(V67="","",IF(V67&lt;TODAY(),"ORDER OVERDUE",IF(V67-TODAY()&lt;=14,"ORDER SOON",""))))))</f>
        <v/>
      </c>
      <c r="AB67" s="35" t="str">
        <f>IF(Q67="","",IF(AND(X67="",Q67&gt;0),Q67,""))</f>
        <v/>
      </c>
      <c r="AC67" s="59" t="n"/>
      <c r="AD67" s="59" t="n"/>
      <c r="AE67" s="60" t="str">
        <f>IF(AND(C67&lt;&gt;"",B67='Client Sign-Off'!$D$7),COUNTIFS($B$6:B67,'Client Sign-Off'!$D$7,$C$6:C67,"?*"),"")</f>
        <v/>
      </c>
    </row>
    <row r="68" ht="18" customHeight="1">
      <c r="A68" s="54" t="str">
        <f>IF(C68="","",ROW()-5)</f>
        <v/>
      </c>
      <c r="B68" s="40" t="n"/>
      <c r="C68" s="40" t="n"/>
      <c r="D68" s="40" t="n"/>
      <c r="E68" s="40" t="n"/>
      <c r="F68" s="40" t="n"/>
      <c r="G68" s="55" t="str">
        <f>IF(F68="","",IFERROR(IF(INDEX(Project!$C$24:$C$27,MATCH(F68,Project!$B$24:$B$27,0))="","",INDEX(Project!$C$24:$C$27,MATCH(F68,Project!$B$24:$B$27,0))),""))</f>
        <v/>
      </c>
      <c r="H68" s="40" t="n"/>
      <c r="I68" s="40" t="n"/>
      <c r="J68" s="40" t="n"/>
      <c r="K68" s="40" t="n"/>
      <c r="L68" s="56" t="n"/>
      <c r="M68" s="40" t="n"/>
      <c r="N68" s="57" t="n"/>
      <c r="O68" s="35" t="str">
        <f>IF(OR(L68="",N68=""),"",L68*N68)</f>
        <v/>
      </c>
      <c r="P68" s="43" t="n"/>
      <c r="Q68" s="36" t="str">
        <f>IF(OR(O68="",P68=""),"",O68-P68)</f>
        <v/>
      </c>
      <c r="R68" s="40" t="n"/>
      <c r="S68" s="40" t="n"/>
      <c r="T68" s="58" t="n"/>
      <c r="U68" s="42" t="n"/>
      <c r="V68" s="55" t="str">
        <f>IF(OR(U68="",T68=""),"",U68-T68)</f>
        <v/>
      </c>
      <c r="W68" s="40" t="n"/>
      <c r="X68" s="42" t="n"/>
      <c r="Y68" s="40" t="n"/>
      <c r="Z68" s="32" t="str">
        <f>IF(C68="","",IF(OR(W68="Ordered",W68="Received",W68="Installed"),"Ordered",IF(AND(I68&lt;&gt;"",J68&lt;&gt;"",L68&lt;&gt;"",R68&lt;&gt;"",T68&lt;&gt;"",X68&lt;&gt;""),"READY","Missing: "&amp;_xlfn.TEXTJOIN(", ",TRUE,IF(I68="","model",""),IF(J68="","finish",""),IF(L68="","qty",""),IF(R68="","supplier",""),IF(T68="","lead time",""),IF(X68="","approval","")))))</f>
        <v/>
      </c>
      <c r="AA68" s="54" t="str">
        <f>IF(C68="","",IF(OR(W68="Ordered",W68="Received",W68="Installed"),"",IF(AND(G68&lt;&gt;"",X68="",G68&lt;TODAY()),"DECISION OVERDUE",IF(V68="","",IF(V68&lt;TODAY(),"ORDER OVERDUE",IF(V68-TODAY()&lt;=14,"ORDER SOON",""))))))</f>
        <v/>
      </c>
      <c r="AB68" s="35" t="str">
        <f>IF(Q68="","",IF(AND(X68="",Q68&gt;0),Q68,""))</f>
        <v/>
      </c>
      <c r="AC68" s="59" t="n"/>
      <c r="AD68" s="59" t="n"/>
      <c r="AE68" s="60" t="str">
        <f>IF(AND(C68&lt;&gt;"",B68='Client Sign-Off'!$D$7),COUNTIFS($B$6:B68,'Client Sign-Off'!$D$7,$C$6:C68,"?*"),"")</f>
        <v/>
      </c>
    </row>
    <row r="69" ht="18" customHeight="1">
      <c r="A69" s="54" t="str">
        <f>IF(C69="","",ROW()-5)</f>
        <v/>
      </c>
      <c r="B69" s="40" t="n"/>
      <c r="C69" s="40" t="n"/>
      <c r="D69" s="40" t="n"/>
      <c r="E69" s="40" t="n"/>
      <c r="F69" s="40" t="n"/>
      <c r="G69" s="55" t="str">
        <f>IF(F69="","",IFERROR(IF(INDEX(Project!$C$24:$C$27,MATCH(F69,Project!$B$24:$B$27,0))="","",INDEX(Project!$C$24:$C$27,MATCH(F69,Project!$B$24:$B$27,0))),""))</f>
        <v/>
      </c>
      <c r="H69" s="40" t="n"/>
      <c r="I69" s="40" t="n"/>
      <c r="J69" s="40" t="n"/>
      <c r="K69" s="40" t="n"/>
      <c r="L69" s="56" t="n"/>
      <c r="M69" s="40" t="n"/>
      <c r="N69" s="57" t="n"/>
      <c r="O69" s="35" t="str">
        <f>IF(OR(L69="",N69=""),"",L69*N69)</f>
        <v/>
      </c>
      <c r="P69" s="43" t="n"/>
      <c r="Q69" s="36" t="str">
        <f>IF(OR(O69="",P69=""),"",O69-P69)</f>
        <v/>
      </c>
      <c r="R69" s="40" t="n"/>
      <c r="S69" s="40" t="n"/>
      <c r="T69" s="58" t="n"/>
      <c r="U69" s="42" t="n"/>
      <c r="V69" s="55" t="str">
        <f>IF(OR(U69="",T69=""),"",U69-T69)</f>
        <v/>
      </c>
      <c r="W69" s="40" t="n"/>
      <c r="X69" s="42" t="n"/>
      <c r="Y69" s="40" t="n"/>
      <c r="Z69" s="32" t="str">
        <f>IF(C69="","",IF(OR(W69="Ordered",W69="Received",W69="Installed"),"Ordered",IF(AND(I69&lt;&gt;"",J69&lt;&gt;"",L69&lt;&gt;"",R69&lt;&gt;"",T69&lt;&gt;"",X69&lt;&gt;""),"READY","Missing: "&amp;_xlfn.TEXTJOIN(", ",TRUE,IF(I69="","model",""),IF(J69="","finish",""),IF(L69="","qty",""),IF(R69="","supplier",""),IF(T69="","lead time",""),IF(X69="","approval","")))))</f>
        <v/>
      </c>
      <c r="AA69" s="54" t="str">
        <f>IF(C69="","",IF(OR(W69="Ordered",W69="Received",W69="Installed"),"",IF(AND(G69&lt;&gt;"",X69="",G69&lt;TODAY()),"DECISION OVERDUE",IF(V69="","",IF(V69&lt;TODAY(),"ORDER OVERDUE",IF(V69-TODAY()&lt;=14,"ORDER SOON",""))))))</f>
        <v/>
      </c>
      <c r="AB69" s="35" t="str">
        <f>IF(Q69="","",IF(AND(X69="",Q69&gt;0),Q69,""))</f>
        <v/>
      </c>
      <c r="AC69" s="59" t="n"/>
      <c r="AD69" s="59" t="n"/>
      <c r="AE69" s="60" t="str">
        <f>IF(AND(C69&lt;&gt;"",B69='Client Sign-Off'!$D$7),COUNTIFS($B$6:B69,'Client Sign-Off'!$D$7,$C$6:C69,"?*"),"")</f>
        <v/>
      </c>
    </row>
    <row r="70" ht="18" customHeight="1">
      <c r="A70" s="54" t="str">
        <f>IF(C70="","",ROW()-5)</f>
        <v/>
      </c>
      <c r="B70" s="40" t="n"/>
      <c r="C70" s="40" t="n"/>
      <c r="D70" s="40" t="n"/>
      <c r="E70" s="40" t="n"/>
      <c r="F70" s="40" t="n"/>
      <c r="G70" s="55" t="str">
        <f>IF(F70="","",IFERROR(IF(INDEX(Project!$C$24:$C$27,MATCH(F70,Project!$B$24:$B$27,0))="","",INDEX(Project!$C$24:$C$27,MATCH(F70,Project!$B$24:$B$27,0))),""))</f>
        <v/>
      </c>
      <c r="H70" s="40" t="n"/>
      <c r="I70" s="40" t="n"/>
      <c r="J70" s="40" t="n"/>
      <c r="K70" s="40" t="n"/>
      <c r="L70" s="56" t="n"/>
      <c r="M70" s="40" t="n"/>
      <c r="N70" s="57" t="n"/>
      <c r="O70" s="35" t="str">
        <f>IF(OR(L70="",N70=""),"",L70*N70)</f>
        <v/>
      </c>
      <c r="P70" s="43" t="n"/>
      <c r="Q70" s="36" t="str">
        <f>IF(OR(O70="",P70=""),"",O70-P70)</f>
        <v/>
      </c>
      <c r="R70" s="40" t="n"/>
      <c r="S70" s="40" t="n"/>
      <c r="T70" s="58" t="n"/>
      <c r="U70" s="42" t="n"/>
      <c r="V70" s="55" t="str">
        <f>IF(OR(U70="",T70=""),"",U70-T70)</f>
        <v/>
      </c>
      <c r="W70" s="40" t="n"/>
      <c r="X70" s="42" t="n"/>
      <c r="Y70" s="40" t="n"/>
      <c r="Z70" s="32" t="str">
        <f>IF(C70="","",IF(OR(W70="Ordered",W70="Received",W70="Installed"),"Ordered",IF(AND(I70&lt;&gt;"",J70&lt;&gt;"",L70&lt;&gt;"",R70&lt;&gt;"",T70&lt;&gt;"",X70&lt;&gt;""),"READY","Missing: "&amp;_xlfn.TEXTJOIN(", ",TRUE,IF(I70="","model",""),IF(J70="","finish",""),IF(L70="","qty",""),IF(R70="","supplier",""),IF(T70="","lead time",""),IF(X70="","approval","")))))</f>
        <v/>
      </c>
      <c r="AA70" s="54" t="str">
        <f>IF(C70="","",IF(OR(W70="Ordered",W70="Received",W70="Installed"),"",IF(AND(G70&lt;&gt;"",X70="",G70&lt;TODAY()),"DECISION OVERDUE",IF(V70="","",IF(V70&lt;TODAY(),"ORDER OVERDUE",IF(V70-TODAY()&lt;=14,"ORDER SOON",""))))))</f>
        <v/>
      </c>
      <c r="AB70" s="35" t="str">
        <f>IF(Q70="","",IF(AND(X70="",Q70&gt;0),Q70,""))</f>
        <v/>
      </c>
      <c r="AC70" s="59" t="n"/>
      <c r="AD70" s="59" t="n"/>
      <c r="AE70" s="60" t="str">
        <f>IF(AND(C70&lt;&gt;"",B70='Client Sign-Off'!$D$7),COUNTIFS($B$6:B70,'Client Sign-Off'!$D$7,$C$6:C70,"?*"),"")</f>
        <v/>
      </c>
    </row>
    <row r="71" ht="18" customHeight="1">
      <c r="A71" s="54" t="str">
        <f>IF(C71="","",ROW()-5)</f>
        <v/>
      </c>
      <c r="B71" s="40" t="n"/>
      <c r="C71" s="40" t="n"/>
      <c r="D71" s="40" t="n"/>
      <c r="E71" s="40" t="n"/>
      <c r="F71" s="40" t="n"/>
      <c r="G71" s="55" t="str">
        <f>IF(F71="","",IFERROR(IF(INDEX(Project!$C$24:$C$27,MATCH(F71,Project!$B$24:$B$27,0))="","",INDEX(Project!$C$24:$C$27,MATCH(F71,Project!$B$24:$B$27,0))),""))</f>
        <v/>
      </c>
      <c r="H71" s="40" t="n"/>
      <c r="I71" s="40" t="n"/>
      <c r="J71" s="40" t="n"/>
      <c r="K71" s="40" t="n"/>
      <c r="L71" s="56" t="n"/>
      <c r="M71" s="40" t="n"/>
      <c r="N71" s="57" t="n"/>
      <c r="O71" s="35" t="str">
        <f>IF(OR(L71="",N71=""),"",L71*N71)</f>
        <v/>
      </c>
      <c r="P71" s="43" t="n"/>
      <c r="Q71" s="36" t="str">
        <f>IF(OR(O71="",P71=""),"",O71-P71)</f>
        <v/>
      </c>
      <c r="R71" s="40" t="n"/>
      <c r="S71" s="40" t="n"/>
      <c r="T71" s="58" t="n"/>
      <c r="U71" s="42" t="n"/>
      <c r="V71" s="55" t="str">
        <f>IF(OR(U71="",T71=""),"",U71-T71)</f>
        <v/>
      </c>
      <c r="W71" s="40" t="n"/>
      <c r="X71" s="42" t="n"/>
      <c r="Y71" s="40" t="n"/>
      <c r="Z71" s="32" t="str">
        <f>IF(C71="","",IF(OR(W71="Ordered",W71="Received",W71="Installed"),"Ordered",IF(AND(I71&lt;&gt;"",J71&lt;&gt;"",L71&lt;&gt;"",R71&lt;&gt;"",T71&lt;&gt;"",X71&lt;&gt;""),"READY","Missing: "&amp;_xlfn.TEXTJOIN(", ",TRUE,IF(I71="","model",""),IF(J71="","finish",""),IF(L71="","qty",""),IF(R71="","supplier",""),IF(T71="","lead time",""),IF(X71="","approval","")))))</f>
        <v/>
      </c>
      <c r="AA71" s="54" t="str">
        <f>IF(C71="","",IF(OR(W71="Ordered",W71="Received",W71="Installed"),"",IF(AND(G71&lt;&gt;"",X71="",G71&lt;TODAY()),"DECISION OVERDUE",IF(V71="","",IF(V71&lt;TODAY(),"ORDER OVERDUE",IF(V71-TODAY()&lt;=14,"ORDER SOON",""))))))</f>
        <v/>
      </c>
      <c r="AB71" s="35" t="str">
        <f>IF(Q71="","",IF(AND(X71="",Q71&gt;0),Q71,""))</f>
        <v/>
      </c>
      <c r="AC71" s="59" t="n"/>
      <c r="AD71" s="59" t="n"/>
      <c r="AE71" s="60" t="str">
        <f>IF(AND(C71&lt;&gt;"",B71='Client Sign-Off'!$D$7),COUNTIFS($B$6:B71,'Client Sign-Off'!$D$7,$C$6:C71,"?*"),"")</f>
        <v/>
      </c>
    </row>
    <row r="72" ht="18" customHeight="1">
      <c r="A72" s="54" t="str">
        <f>IF(C72="","",ROW()-5)</f>
        <v/>
      </c>
      <c r="B72" s="40" t="n"/>
      <c r="C72" s="40" t="n"/>
      <c r="D72" s="40" t="n"/>
      <c r="E72" s="40" t="n"/>
      <c r="F72" s="40" t="n"/>
      <c r="G72" s="55" t="str">
        <f>IF(F72="","",IFERROR(IF(INDEX(Project!$C$24:$C$27,MATCH(F72,Project!$B$24:$B$27,0))="","",INDEX(Project!$C$24:$C$27,MATCH(F72,Project!$B$24:$B$27,0))),""))</f>
        <v/>
      </c>
      <c r="H72" s="40" t="n"/>
      <c r="I72" s="40" t="n"/>
      <c r="J72" s="40" t="n"/>
      <c r="K72" s="40" t="n"/>
      <c r="L72" s="56" t="n"/>
      <c r="M72" s="40" t="n"/>
      <c r="N72" s="57" t="n"/>
      <c r="O72" s="35" t="str">
        <f>IF(OR(L72="",N72=""),"",L72*N72)</f>
        <v/>
      </c>
      <c r="P72" s="43" t="n"/>
      <c r="Q72" s="36" t="str">
        <f>IF(OR(O72="",P72=""),"",O72-P72)</f>
        <v/>
      </c>
      <c r="R72" s="40" t="n"/>
      <c r="S72" s="40" t="n"/>
      <c r="T72" s="58" t="n"/>
      <c r="U72" s="42" t="n"/>
      <c r="V72" s="55" t="str">
        <f>IF(OR(U72="",T72=""),"",U72-T72)</f>
        <v/>
      </c>
      <c r="W72" s="40" t="n"/>
      <c r="X72" s="42" t="n"/>
      <c r="Y72" s="40" t="n"/>
      <c r="Z72" s="32" t="str">
        <f>IF(C72="","",IF(OR(W72="Ordered",W72="Received",W72="Installed"),"Ordered",IF(AND(I72&lt;&gt;"",J72&lt;&gt;"",L72&lt;&gt;"",R72&lt;&gt;"",T72&lt;&gt;"",X72&lt;&gt;""),"READY","Missing: "&amp;_xlfn.TEXTJOIN(", ",TRUE,IF(I72="","model",""),IF(J72="","finish",""),IF(L72="","qty",""),IF(R72="","supplier",""),IF(T72="","lead time",""),IF(X72="","approval","")))))</f>
        <v/>
      </c>
      <c r="AA72" s="54" t="str">
        <f>IF(C72="","",IF(OR(W72="Ordered",W72="Received",W72="Installed"),"",IF(AND(G72&lt;&gt;"",X72="",G72&lt;TODAY()),"DECISION OVERDUE",IF(V72="","",IF(V72&lt;TODAY(),"ORDER OVERDUE",IF(V72-TODAY()&lt;=14,"ORDER SOON",""))))))</f>
        <v/>
      </c>
      <c r="AB72" s="35" t="str">
        <f>IF(Q72="","",IF(AND(X72="",Q72&gt;0),Q72,""))</f>
        <v/>
      </c>
      <c r="AC72" s="59" t="n"/>
      <c r="AD72" s="59" t="n"/>
      <c r="AE72" s="60" t="str">
        <f>IF(AND(C72&lt;&gt;"",B72='Client Sign-Off'!$D$7),COUNTIFS($B$6:B72,'Client Sign-Off'!$D$7,$C$6:C72,"?*"),"")</f>
        <v/>
      </c>
    </row>
    <row r="73" ht="18" customHeight="1">
      <c r="A73" s="54" t="str">
        <f>IF(C73="","",ROW()-5)</f>
        <v/>
      </c>
      <c r="B73" s="40" t="n"/>
      <c r="C73" s="40" t="n"/>
      <c r="D73" s="40" t="n"/>
      <c r="E73" s="40" t="n"/>
      <c r="F73" s="40" t="n"/>
      <c r="G73" s="55" t="str">
        <f>IF(F73="","",IFERROR(IF(INDEX(Project!$C$24:$C$27,MATCH(F73,Project!$B$24:$B$27,0))="","",INDEX(Project!$C$24:$C$27,MATCH(F73,Project!$B$24:$B$27,0))),""))</f>
        <v/>
      </c>
      <c r="H73" s="40" t="n"/>
      <c r="I73" s="40" t="n"/>
      <c r="J73" s="40" t="n"/>
      <c r="K73" s="40" t="n"/>
      <c r="L73" s="56" t="n"/>
      <c r="M73" s="40" t="n"/>
      <c r="N73" s="57" t="n"/>
      <c r="O73" s="35" t="str">
        <f>IF(OR(L73="",N73=""),"",L73*N73)</f>
        <v/>
      </c>
      <c r="P73" s="43" t="n"/>
      <c r="Q73" s="36" t="str">
        <f>IF(OR(O73="",P73=""),"",O73-P73)</f>
        <v/>
      </c>
      <c r="R73" s="40" t="n"/>
      <c r="S73" s="40" t="n"/>
      <c r="T73" s="58" t="n"/>
      <c r="U73" s="42" t="n"/>
      <c r="V73" s="55" t="str">
        <f>IF(OR(U73="",T73=""),"",U73-T73)</f>
        <v/>
      </c>
      <c r="W73" s="40" t="n"/>
      <c r="X73" s="42" t="n"/>
      <c r="Y73" s="40" t="n"/>
      <c r="Z73" s="32" t="str">
        <f>IF(C73="","",IF(OR(W73="Ordered",W73="Received",W73="Installed"),"Ordered",IF(AND(I73&lt;&gt;"",J73&lt;&gt;"",L73&lt;&gt;"",R73&lt;&gt;"",T73&lt;&gt;"",X73&lt;&gt;""),"READY","Missing: "&amp;_xlfn.TEXTJOIN(", ",TRUE,IF(I73="","model",""),IF(J73="","finish",""),IF(L73="","qty",""),IF(R73="","supplier",""),IF(T73="","lead time",""),IF(X73="","approval","")))))</f>
        <v/>
      </c>
      <c r="AA73" s="54" t="str">
        <f>IF(C73="","",IF(OR(W73="Ordered",W73="Received",W73="Installed"),"",IF(AND(G73&lt;&gt;"",X73="",G73&lt;TODAY()),"DECISION OVERDUE",IF(V73="","",IF(V73&lt;TODAY(),"ORDER OVERDUE",IF(V73-TODAY()&lt;=14,"ORDER SOON",""))))))</f>
        <v/>
      </c>
      <c r="AB73" s="35" t="str">
        <f>IF(Q73="","",IF(AND(X73="",Q73&gt;0),Q73,""))</f>
        <v/>
      </c>
      <c r="AC73" s="59" t="n"/>
      <c r="AD73" s="59" t="n"/>
      <c r="AE73" s="60" t="str">
        <f>IF(AND(C73&lt;&gt;"",B73='Client Sign-Off'!$D$7),COUNTIFS($B$6:B73,'Client Sign-Off'!$D$7,$C$6:C73,"?*"),"")</f>
        <v/>
      </c>
    </row>
    <row r="74" ht="18" customHeight="1">
      <c r="A74" s="54" t="str">
        <f>IF(C74="","",ROW()-5)</f>
        <v/>
      </c>
      <c r="B74" s="40" t="n"/>
      <c r="C74" s="40" t="n"/>
      <c r="D74" s="40" t="n"/>
      <c r="E74" s="40" t="n"/>
      <c r="F74" s="40" t="n"/>
      <c r="G74" s="55" t="str">
        <f>IF(F74="","",IFERROR(IF(INDEX(Project!$C$24:$C$27,MATCH(F74,Project!$B$24:$B$27,0))="","",INDEX(Project!$C$24:$C$27,MATCH(F74,Project!$B$24:$B$27,0))),""))</f>
        <v/>
      </c>
      <c r="H74" s="40" t="n"/>
      <c r="I74" s="40" t="n"/>
      <c r="J74" s="40" t="n"/>
      <c r="K74" s="40" t="n"/>
      <c r="L74" s="56" t="n"/>
      <c r="M74" s="40" t="n"/>
      <c r="N74" s="57" t="n"/>
      <c r="O74" s="35" t="str">
        <f>IF(OR(L74="",N74=""),"",L74*N74)</f>
        <v/>
      </c>
      <c r="P74" s="43" t="n"/>
      <c r="Q74" s="36" t="str">
        <f>IF(OR(O74="",P74=""),"",O74-P74)</f>
        <v/>
      </c>
      <c r="R74" s="40" t="n"/>
      <c r="S74" s="40" t="n"/>
      <c r="T74" s="58" t="n"/>
      <c r="U74" s="42" t="n"/>
      <c r="V74" s="55" t="str">
        <f>IF(OR(U74="",T74=""),"",U74-T74)</f>
        <v/>
      </c>
      <c r="W74" s="40" t="n"/>
      <c r="X74" s="42" t="n"/>
      <c r="Y74" s="40" t="n"/>
      <c r="Z74" s="32" t="str">
        <f>IF(C74="","",IF(OR(W74="Ordered",W74="Received",W74="Installed"),"Ordered",IF(AND(I74&lt;&gt;"",J74&lt;&gt;"",L74&lt;&gt;"",R74&lt;&gt;"",T74&lt;&gt;"",X74&lt;&gt;""),"READY","Missing: "&amp;_xlfn.TEXTJOIN(", ",TRUE,IF(I74="","model",""),IF(J74="","finish",""),IF(L74="","qty",""),IF(R74="","supplier",""),IF(T74="","lead time",""),IF(X74="","approval","")))))</f>
        <v/>
      </c>
      <c r="AA74" s="54" t="str">
        <f>IF(C74="","",IF(OR(W74="Ordered",W74="Received",W74="Installed"),"",IF(AND(G74&lt;&gt;"",X74="",G74&lt;TODAY()),"DECISION OVERDUE",IF(V74="","",IF(V74&lt;TODAY(),"ORDER OVERDUE",IF(V74-TODAY()&lt;=14,"ORDER SOON",""))))))</f>
        <v/>
      </c>
      <c r="AB74" s="35" t="str">
        <f>IF(Q74="","",IF(AND(X74="",Q74&gt;0),Q74,""))</f>
        <v/>
      </c>
      <c r="AC74" s="59" t="n"/>
      <c r="AD74" s="59" t="n"/>
      <c r="AE74" s="60" t="str">
        <f>IF(AND(C74&lt;&gt;"",B74='Client Sign-Off'!$D$7),COUNTIFS($B$6:B74,'Client Sign-Off'!$D$7,$C$6:C74,"?*"),"")</f>
        <v/>
      </c>
    </row>
    <row r="75" ht="18" customHeight="1">
      <c r="A75" s="54" t="str">
        <f>IF(C75="","",ROW()-5)</f>
        <v/>
      </c>
      <c r="B75" s="40" t="n"/>
      <c r="C75" s="40" t="n"/>
      <c r="D75" s="40" t="n"/>
      <c r="E75" s="40" t="n"/>
      <c r="F75" s="40" t="n"/>
      <c r="G75" s="55" t="str">
        <f>IF(F75="","",IFERROR(IF(INDEX(Project!$C$24:$C$27,MATCH(F75,Project!$B$24:$B$27,0))="","",INDEX(Project!$C$24:$C$27,MATCH(F75,Project!$B$24:$B$27,0))),""))</f>
        <v/>
      </c>
      <c r="H75" s="40" t="n"/>
      <c r="I75" s="40" t="n"/>
      <c r="J75" s="40" t="n"/>
      <c r="K75" s="40" t="n"/>
      <c r="L75" s="56" t="n"/>
      <c r="M75" s="40" t="n"/>
      <c r="N75" s="57" t="n"/>
      <c r="O75" s="35" t="str">
        <f>IF(OR(L75="",N75=""),"",L75*N75)</f>
        <v/>
      </c>
      <c r="P75" s="43" t="n"/>
      <c r="Q75" s="36" t="str">
        <f>IF(OR(O75="",P75=""),"",O75-P75)</f>
        <v/>
      </c>
      <c r="R75" s="40" t="n"/>
      <c r="S75" s="40" t="n"/>
      <c r="T75" s="58" t="n"/>
      <c r="U75" s="42" t="n"/>
      <c r="V75" s="55" t="str">
        <f>IF(OR(U75="",T75=""),"",U75-T75)</f>
        <v/>
      </c>
      <c r="W75" s="40" t="n"/>
      <c r="X75" s="42" t="n"/>
      <c r="Y75" s="40" t="n"/>
      <c r="Z75" s="32" t="str">
        <f>IF(C75="","",IF(OR(W75="Ordered",W75="Received",W75="Installed"),"Ordered",IF(AND(I75&lt;&gt;"",J75&lt;&gt;"",L75&lt;&gt;"",R75&lt;&gt;"",T75&lt;&gt;"",X75&lt;&gt;""),"READY","Missing: "&amp;_xlfn.TEXTJOIN(", ",TRUE,IF(I75="","model",""),IF(J75="","finish",""),IF(L75="","qty",""),IF(R75="","supplier",""),IF(T75="","lead time",""),IF(X75="","approval","")))))</f>
        <v/>
      </c>
      <c r="AA75" s="54" t="str">
        <f>IF(C75="","",IF(OR(W75="Ordered",W75="Received",W75="Installed"),"",IF(AND(G75&lt;&gt;"",X75="",G75&lt;TODAY()),"DECISION OVERDUE",IF(V75="","",IF(V75&lt;TODAY(),"ORDER OVERDUE",IF(V75-TODAY()&lt;=14,"ORDER SOON",""))))))</f>
        <v/>
      </c>
      <c r="AB75" s="35" t="str">
        <f>IF(Q75="","",IF(AND(X75="",Q75&gt;0),Q75,""))</f>
        <v/>
      </c>
      <c r="AC75" s="59" t="n"/>
      <c r="AD75" s="59" t="n"/>
      <c r="AE75" s="60" t="str">
        <f>IF(AND(C75&lt;&gt;"",B75='Client Sign-Off'!$D$7),COUNTIFS($B$6:B75,'Client Sign-Off'!$D$7,$C$6:C75,"?*"),"")</f>
        <v/>
      </c>
    </row>
    <row r="76" ht="18" customHeight="1">
      <c r="A76" s="54" t="str">
        <f>IF(C76="","",ROW()-5)</f>
        <v/>
      </c>
      <c r="B76" s="40" t="n"/>
      <c r="C76" s="40" t="n"/>
      <c r="D76" s="40" t="n"/>
      <c r="E76" s="40" t="n"/>
      <c r="F76" s="40" t="n"/>
      <c r="G76" s="55" t="str">
        <f>IF(F76="","",IFERROR(IF(INDEX(Project!$C$24:$C$27,MATCH(F76,Project!$B$24:$B$27,0))="","",INDEX(Project!$C$24:$C$27,MATCH(F76,Project!$B$24:$B$27,0))),""))</f>
        <v/>
      </c>
      <c r="H76" s="40" t="n"/>
      <c r="I76" s="40" t="n"/>
      <c r="J76" s="40" t="n"/>
      <c r="K76" s="40" t="n"/>
      <c r="L76" s="56" t="n"/>
      <c r="M76" s="40" t="n"/>
      <c r="N76" s="57" t="n"/>
      <c r="O76" s="35" t="str">
        <f>IF(OR(L76="",N76=""),"",L76*N76)</f>
        <v/>
      </c>
      <c r="P76" s="43" t="n"/>
      <c r="Q76" s="36" t="str">
        <f>IF(OR(O76="",P76=""),"",O76-P76)</f>
        <v/>
      </c>
      <c r="R76" s="40" t="n"/>
      <c r="S76" s="40" t="n"/>
      <c r="T76" s="58" t="n"/>
      <c r="U76" s="42" t="n"/>
      <c r="V76" s="55" t="str">
        <f>IF(OR(U76="",T76=""),"",U76-T76)</f>
        <v/>
      </c>
      <c r="W76" s="40" t="n"/>
      <c r="X76" s="42" t="n"/>
      <c r="Y76" s="40" t="n"/>
      <c r="Z76" s="32" t="str">
        <f>IF(C76="","",IF(OR(W76="Ordered",W76="Received",W76="Installed"),"Ordered",IF(AND(I76&lt;&gt;"",J76&lt;&gt;"",L76&lt;&gt;"",R76&lt;&gt;"",T76&lt;&gt;"",X76&lt;&gt;""),"READY","Missing: "&amp;_xlfn.TEXTJOIN(", ",TRUE,IF(I76="","model",""),IF(J76="","finish",""),IF(L76="","qty",""),IF(R76="","supplier",""),IF(T76="","lead time",""),IF(X76="","approval","")))))</f>
        <v/>
      </c>
      <c r="AA76" s="54" t="str">
        <f>IF(C76="","",IF(OR(W76="Ordered",W76="Received",W76="Installed"),"",IF(AND(G76&lt;&gt;"",X76="",G76&lt;TODAY()),"DECISION OVERDUE",IF(V76="","",IF(V76&lt;TODAY(),"ORDER OVERDUE",IF(V76-TODAY()&lt;=14,"ORDER SOON",""))))))</f>
        <v/>
      </c>
      <c r="AB76" s="35" t="str">
        <f>IF(Q76="","",IF(AND(X76="",Q76&gt;0),Q76,""))</f>
        <v/>
      </c>
      <c r="AC76" s="59" t="n"/>
      <c r="AD76" s="59" t="n"/>
      <c r="AE76" s="60" t="str">
        <f>IF(AND(C76&lt;&gt;"",B76='Client Sign-Off'!$D$7),COUNTIFS($B$6:B76,'Client Sign-Off'!$D$7,$C$6:C76,"?*"),"")</f>
        <v/>
      </c>
    </row>
    <row r="77" ht="18" customHeight="1">
      <c r="A77" s="54" t="str">
        <f>IF(C77="","",ROW()-5)</f>
        <v/>
      </c>
      <c r="B77" s="40" t="n"/>
      <c r="C77" s="40" t="n"/>
      <c r="D77" s="40" t="n"/>
      <c r="E77" s="40" t="n"/>
      <c r="F77" s="40" t="n"/>
      <c r="G77" s="55" t="str">
        <f>IF(F77="","",IFERROR(IF(INDEX(Project!$C$24:$C$27,MATCH(F77,Project!$B$24:$B$27,0))="","",INDEX(Project!$C$24:$C$27,MATCH(F77,Project!$B$24:$B$27,0))),""))</f>
        <v/>
      </c>
      <c r="H77" s="40" t="n"/>
      <c r="I77" s="40" t="n"/>
      <c r="J77" s="40" t="n"/>
      <c r="K77" s="40" t="n"/>
      <c r="L77" s="56" t="n"/>
      <c r="M77" s="40" t="n"/>
      <c r="N77" s="57" t="n"/>
      <c r="O77" s="35" t="str">
        <f>IF(OR(L77="",N77=""),"",L77*N77)</f>
        <v/>
      </c>
      <c r="P77" s="43" t="n"/>
      <c r="Q77" s="36" t="str">
        <f>IF(OR(O77="",P77=""),"",O77-P77)</f>
        <v/>
      </c>
      <c r="R77" s="40" t="n"/>
      <c r="S77" s="40" t="n"/>
      <c r="T77" s="58" t="n"/>
      <c r="U77" s="42" t="n"/>
      <c r="V77" s="55" t="str">
        <f>IF(OR(U77="",T77=""),"",U77-T77)</f>
        <v/>
      </c>
      <c r="W77" s="40" t="n"/>
      <c r="X77" s="42" t="n"/>
      <c r="Y77" s="40" t="n"/>
      <c r="Z77" s="32" t="str">
        <f>IF(C77="","",IF(OR(W77="Ordered",W77="Received",W77="Installed"),"Ordered",IF(AND(I77&lt;&gt;"",J77&lt;&gt;"",L77&lt;&gt;"",R77&lt;&gt;"",T77&lt;&gt;"",X77&lt;&gt;""),"READY","Missing: "&amp;_xlfn.TEXTJOIN(", ",TRUE,IF(I77="","model",""),IF(J77="","finish",""),IF(L77="","qty",""),IF(R77="","supplier",""),IF(T77="","lead time",""),IF(X77="","approval","")))))</f>
        <v/>
      </c>
      <c r="AA77" s="54" t="str">
        <f>IF(C77="","",IF(OR(W77="Ordered",W77="Received",W77="Installed"),"",IF(AND(G77&lt;&gt;"",X77="",G77&lt;TODAY()),"DECISION OVERDUE",IF(V77="","",IF(V77&lt;TODAY(),"ORDER OVERDUE",IF(V77-TODAY()&lt;=14,"ORDER SOON",""))))))</f>
        <v/>
      </c>
      <c r="AB77" s="35" t="str">
        <f>IF(Q77="","",IF(AND(X77="",Q77&gt;0),Q77,""))</f>
        <v/>
      </c>
      <c r="AC77" s="59" t="n"/>
      <c r="AD77" s="59" t="n"/>
      <c r="AE77" s="60" t="str">
        <f>IF(AND(C77&lt;&gt;"",B77='Client Sign-Off'!$D$7),COUNTIFS($B$6:B77,'Client Sign-Off'!$D$7,$C$6:C77,"?*"),"")</f>
        <v/>
      </c>
    </row>
    <row r="78" ht="18" customHeight="1">
      <c r="A78" s="54" t="str">
        <f>IF(C78="","",ROW()-5)</f>
        <v/>
      </c>
      <c r="B78" s="40" t="n"/>
      <c r="C78" s="40" t="n"/>
      <c r="D78" s="40" t="n"/>
      <c r="E78" s="40" t="n"/>
      <c r="F78" s="40" t="n"/>
      <c r="G78" s="55" t="str">
        <f>IF(F78="","",IFERROR(IF(INDEX(Project!$C$24:$C$27,MATCH(F78,Project!$B$24:$B$27,0))="","",INDEX(Project!$C$24:$C$27,MATCH(F78,Project!$B$24:$B$27,0))),""))</f>
        <v/>
      </c>
      <c r="H78" s="40" t="n"/>
      <c r="I78" s="40" t="n"/>
      <c r="J78" s="40" t="n"/>
      <c r="K78" s="40" t="n"/>
      <c r="L78" s="56" t="n"/>
      <c r="M78" s="40" t="n"/>
      <c r="N78" s="57" t="n"/>
      <c r="O78" s="35" t="str">
        <f>IF(OR(L78="",N78=""),"",L78*N78)</f>
        <v/>
      </c>
      <c r="P78" s="43" t="n"/>
      <c r="Q78" s="36" t="str">
        <f>IF(OR(O78="",P78=""),"",O78-P78)</f>
        <v/>
      </c>
      <c r="R78" s="40" t="n"/>
      <c r="S78" s="40" t="n"/>
      <c r="T78" s="58" t="n"/>
      <c r="U78" s="42" t="n"/>
      <c r="V78" s="55" t="str">
        <f>IF(OR(U78="",T78=""),"",U78-T78)</f>
        <v/>
      </c>
      <c r="W78" s="40" t="n"/>
      <c r="X78" s="42" t="n"/>
      <c r="Y78" s="40" t="n"/>
      <c r="Z78" s="32" t="str">
        <f>IF(C78="","",IF(OR(W78="Ordered",W78="Received",W78="Installed"),"Ordered",IF(AND(I78&lt;&gt;"",J78&lt;&gt;"",L78&lt;&gt;"",R78&lt;&gt;"",T78&lt;&gt;"",X78&lt;&gt;""),"READY","Missing: "&amp;_xlfn.TEXTJOIN(", ",TRUE,IF(I78="","model",""),IF(J78="","finish",""),IF(L78="","qty",""),IF(R78="","supplier",""),IF(T78="","lead time",""),IF(X78="","approval","")))))</f>
        <v/>
      </c>
      <c r="AA78" s="54" t="str">
        <f>IF(C78="","",IF(OR(W78="Ordered",W78="Received",W78="Installed"),"",IF(AND(G78&lt;&gt;"",X78="",G78&lt;TODAY()),"DECISION OVERDUE",IF(V78="","",IF(V78&lt;TODAY(),"ORDER OVERDUE",IF(V78-TODAY()&lt;=14,"ORDER SOON",""))))))</f>
        <v/>
      </c>
      <c r="AB78" s="35" t="str">
        <f>IF(Q78="","",IF(AND(X78="",Q78&gt;0),Q78,""))</f>
        <v/>
      </c>
      <c r="AC78" s="59" t="n"/>
      <c r="AD78" s="59" t="n"/>
      <c r="AE78" s="60" t="str">
        <f>IF(AND(C78&lt;&gt;"",B78='Client Sign-Off'!$D$7),COUNTIFS($B$6:B78,'Client Sign-Off'!$D$7,$C$6:C78,"?*"),"")</f>
        <v/>
      </c>
    </row>
    <row r="79" ht="18" customHeight="1">
      <c r="A79" s="54" t="str">
        <f>IF(C79="","",ROW()-5)</f>
        <v/>
      </c>
      <c r="B79" s="40" t="n"/>
      <c r="C79" s="40" t="n"/>
      <c r="D79" s="40" t="n"/>
      <c r="E79" s="40" t="n"/>
      <c r="F79" s="40" t="n"/>
      <c r="G79" s="55" t="str">
        <f>IF(F79="","",IFERROR(IF(INDEX(Project!$C$24:$C$27,MATCH(F79,Project!$B$24:$B$27,0))="","",INDEX(Project!$C$24:$C$27,MATCH(F79,Project!$B$24:$B$27,0))),""))</f>
        <v/>
      </c>
      <c r="H79" s="40" t="n"/>
      <c r="I79" s="40" t="n"/>
      <c r="J79" s="40" t="n"/>
      <c r="K79" s="40" t="n"/>
      <c r="L79" s="56" t="n"/>
      <c r="M79" s="40" t="n"/>
      <c r="N79" s="57" t="n"/>
      <c r="O79" s="35" t="str">
        <f>IF(OR(L79="",N79=""),"",L79*N79)</f>
        <v/>
      </c>
      <c r="P79" s="43" t="n"/>
      <c r="Q79" s="36" t="str">
        <f>IF(OR(O79="",P79=""),"",O79-P79)</f>
        <v/>
      </c>
      <c r="R79" s="40" t="n"/>
      <c r="S79" s="40" t="n"/>
      <c r="T79" s="58" t="n"/>
      <c r="U79" s="42" t="n"/>
      <c r="V79" s="55" t="str">
        <f>IF(OR(U79="",T79=""),"",U79-T79)</f>
        <v/>
      </c>
      <c r="W79" s="40" t="n"/>
      <c r="X79" s="42" t="n"/>
      <c r="Y79" s="40" t="n"/>
      <c r="Z79" s="32" t="str">
        <f>IF(C79="","",IF(OR(W79="Ordered",W79="Received",W79="Installed"),"Ordered",IF(AND(I79&lt;&gt;"",J79&lt;&gt;"",L79&lt;&gt;"",R79&lt;&gt;"",T79&lt;&gt;"",X79&lt;&gt;""),"READY","Missing: "&amp;_xlfn.TEXTJOIN(", ",TRUE,IF(I79="","model",""),IF(J79="","finish",""),IF(L79="","qty",""),IF(R79="","supplier",""),IF(T79="","lead time",""),IF(X79="","approval","")))))</f>
        <v/>
      </c>
      <c r="AA79" s="54" t="str">
        <f>IF(C79="","",IF(OR(W79="Ordered",W79="Received",W79="Installed"),"",IF(AND(G79&lt;&gt;"",X79="",G79&lt;TODAY()),"DECISION OVERDUE",IF(V79="","",IF(V79&lt;TODAY(),"ORDER OVERDUE",IF(V79-TODAY()&lt;=14,"ORDER SOON",""))))))</f>
        <v/>
      </c>
      <c r="AB79" s="35" t="str">
        <f>IF(Q79="","",IF(AND(X79="",Q79&gt;0),Q79,""))</f>
        <v/>
      </c>
      <c r="AC79" s="59" t="n"/>
      <c r="AD79" s="59" t="n"/>
      <c r="AE79" s="60" t="str">
        <f>IF(AND(C79&lt;&gt;"",B79='Client Sign-Off'!$D$7),COUNTIFS($B$6:B79,'Client Sign-Off'!$D$7,$C$6:C79,"?*"),"")</f>
        <v/>
      </c>
    </row>
    <row r="80" ht="18" customHeight="1">
      <c r="A80" s="54" t="str">
        <f>IF(C80="","",ROW()-5)</f>
        <v/>
      </c>
      <c r="B80" s="40" t="n"/>
      <c r="C80" s="40" t="n"/>
      <c r="D80" s="40" t="n"/>
      <c r="E80" s="40" t="n"/>
      <c r="F80" s="40" t="n"/>
      <c r="G80" s="55" t="str">
        <f>IF(F80="","",IFERROR(IF(INDEX(Project!$C$24:$C$27,MATCH(F80,Project!$B$24:$B$27,0))="","",INDEX(Project!$C$24:$C$27,MATCH(F80,Project!$B$24:$B$27,0))),""))</f>
        <v/>
      </c>
      <c r="H80" s="40" t="n"/>
      <c r="I80" s="40" t="n"/>
      <c r="J80" s="40" t="n"/>
      <c r="K80" s="40" t="n"/>
      <c r="L80" s="56" t="n"/>
      <c r="M80" s="40" t="n"/>
      <c r="N80" s="57" t="n"/>
      <c r="O80" s="35" t="str">
        <f>IF(OR(L80="",N80=""),"",L80*N80)</f>
        <v/>
      </c>
      <c r="P80" s="43" t="n"/>
      <c r="Q80" s="36" t="str">
        <f>IF(OR(O80="",P80=""),"",O80-P80)</f>
        <v/>
      </c>
      <c r="R80" s="40" t="n"/>
      <c r="S80" s="40" t="n"/>
      <c r="T80" s="58" t="n"/>
      <c r="U80" s="42" t="n"/>
      <c r="V80" s="55" t="str">
        <f>IF(OR(U80="",T80=""),"",U80-T80)</f>
        <v/>
      </c>
      <c r="W80" s="40" t="n"/>
      <c r="X80" s="42" t="n"/>
      <c r="Y80" s="40" t="n"/>
      <c r="Z80" s="32" t="str">
        <f>IF(C80="","",IF(OR(W80="Ordered",W80="Received",W80="Installed"),"Ordered",IF(AND(I80&lt;&gt;"",J80&lt;&gt;"",L80&lt;&gt;"",R80&lt;&gt;"",T80&lt;&gt;"",X80&lt;&gt;""),"READY","Missing: "&amp;_xlfn.TEXTJOIN(", ",TRUE,IF(I80="","model",""),IF(J80="","finish",""),IF(L80="","qty",""),IF(R80="","supplier",""),IF(T80="","lead time",""),IF(X80="","approval","")))))</f>
        <v/>
      </c>
      <c r="AA80" s="54" t="str">
        <f>IF(C80="","",IF(OR(W80="Ordered",W80="Received",W80="Installed"),"",IF(AND(G80&lt;&gt;"",X80="",G80&lt;TODAY()),"DECISION OVERDUE",IF(V80="","",IF(V80&lt;TODAY(),"ORDER OVERDUE",IF(V80-TODAY()&lt;=14,"ORDER SOON",""))))))</f>
        <v/>
      </c>
      <c r="AB80" s="35" t="str">
        <f>IF(Q80="","",IF(AND(X80="",Q80&gt;0),Q80,""))</f>
        <v/>
      </c>
      <c r="AC80" s="59" t="n"/>
      <c r="AD80" s="59" t="n"/>
      <c r="AE80" s="60" t="str">
        <f>IF(AND(C80&lt;&gt;"",B80='Client Sign-Off'!$D$7),COUNTIFS($B$6:B80,'Client Sign-Off'!$D$7,$C$6:C80,"?*"),"")</f>
        <v/>
      </c>
    </row>
    <row r="81" ht="18" customHeight="1">
      <c r="A81" s="54" t="str">
        <f>IF(C81="","",ROW()-5)</f>
        <v/>
      </c>
      <c r="B81" s="40" t="n"/>
      <c r="C81" s="40" t="n"/>
      <c r="D81" s="40" t="n"/>
      <c r="E81" s="40" t="n"/>
      <c r="F81" s="40" t="n"/>
      <c r="G81" s="55" t="str">
        <f>IF(F81="","",IFERROR(IF(INDEX(Project!$C$24:$C$27,MATCH(F81,Project!$B$24:$B$27,0))="","",INDEX(Project!$C$24:$C$27,MATCH(F81,Project!$B$24:$B$27,0))),""))</f>
        <v/>
      </c>
      <c r="H81" s="40" t="n"/>
      <c r="I81" s="40" t="n"/>
      <c r="J81" s="40" t="n"/>
      <c r="K81" s="40" t="n"/>
      <c r="L81" s="56" t="n"/>
      <c r="M81" s="40" t="n"/>
      <c r="N81" s="57" t="n"/>
      <c r="O81" s="35" t="str">
        <f>IF(OR(L81="",N81=""),"",L81*N81)</f>
        <v/>
      </c>
      <c r="P81" s="43" t="n"/>
      <c r="Q81" s="36" t="str">
        <f>IF(OR(O81="",P81=""),"",O81-P81)</f>
        <v/>
      </c>
      <c r="R81" s="40" t="n"/>
      <c r="S81" s="40" t="n"/>
      <c r="T81" s="58" t="n"/>
      <c r="U81" s="42" t="n"/>
      <c r="V81" s="55" t="str">
        <f>IF(OR(U81="",T81=""),"",U81-T81)</f>
        <v/>
      </c>
      <c r="W81" s="40" t="n"/>
      <c r="X81" s="42" t="n"/>
      <c r="Y81" s="40" t="n"/>
      <c r="Z81" s="32" t="str">
        <f>IF(C81="","",IF(OR(W81="Ordered",W81="Received",W81="Installed"),"Ordered",IF(AND(I81&lt;&gt;"",J81&lt;&gt;"",L81&lt;&gt;"",R81&lt;&gt;"",T81&lt;&gt;"",X81&lt;&gt;""),"READY","Missing: "&amp;_xlfn.TEXTJOIN(", ",TRUE,IF(I81="","model",""),IF(J81="","finish",""),IF(L81="","qty",""),IF(R81="","supplier",""),IF(T81="","lead time",""),IF(X81="","approval","")))))</f>
        <v/>
      </c>
      <c r="AA81" s="54" t="str">
        <f>IF(C81="","",IF(OR(W81="Ordered",W81="Received",W81="Installed"),"",IF(AND(G81&lt;&gt;"",X81="",G81&lt;TODAY()),"DECISION OVERDUE",IF(V81="","",IF(V81&lt;TODAY(),"ORDER OVERDUE",IF(V81-TODAY()&lt;=14,"ORDER SOON",""))))))</f>
        <v/>
      </c>
      <c r="AB81" s="35" t="str">
        <f>IF(Q81="","",IF(AND(X81="",Q81&gt;0),Q81,""))</f>
        <v/>
      </c>
      <c r="AC81" s="59" t="n"/>
      <c r="AD81" s="59" t="n"/>
      <c r="AE81" s="60" t="str">
        <f>IF(AND(C81&lt;&gt;"",B81='Client Sign-Off'!$D$7),COUNTIFS($B$6:B81,'Client Sign-Off'!$D$7,$C$6:C81,"?*"),"")</f>
        <v/>
      </c>
    </row>
    <row r="82" ht="18" customHeight="1">
      <c r="A82" s="54" t="str">
        <f>IF(C82="","",ROW()-5)</f>
        <v/>
      </c>
      <c r="B82" s="40" t="n"/>
      <c r="C82" s="40" t="n"/>
      <c r="D82" s="40" t="n"/>
      <c r="E82" s="40" t="n"/>
      <c r="F82" s="40" t="n"/>
      <c r="G82" s="55" t="str">
        <f>IF(F82="","",IFERROR(IF(INDEX(Project!$C$24:$C$27,MATCH(F82,Project!$B$24:$B$27,0))="","",INDEX(Project!$C$24:$C$27,MATCH(F82,Project!$B$24:$B$27,0))),""))</f>
        <v/>
      </c>
      <c r="H82" s="40" t="n"/>
      <c r="I82" s="40" t="n"/>
      <c r="J82" s="40" t="n"/>
      <c r="K82" s="40" t="n"/>
      <c r="L82" s="56" t="n"/>
      <c r="M82" s="40" t="n"/>
      <c r="N82" s="57" t="n"/>
      <c r="O82" s="35" t="str">
        <f>IF(OR(L82="",N82=""),"",L82*N82)</f>
        <v/>
      </c>
      <c r="P82" s="43" t="n"/>
      <c r="Q82" s="36" t="str">
        <f>IF(OR(O82="",P82=""),"",O82-P82)</f>
        <v/>
      </c>
      <c r="R82" s="40" t="n"/>
      <c r="S82" s="40" t="n"/>
      <c r="T82" s="58" t="n"/>
      <c r="U82" s="42" t="n"/>
      <c r="V82" s="55" t="str">
        <f>IF(OR(U82="",T82=""),"",U82-T82)</f>
        <v/>
      </c>
      <c r="W82" s="40" t="n"/>
      <c r="X82" s="42" t="n"/>
      <c r="Y82" s="40" t="n"/>
      <c r="Z82" s="32" t="str">
        <f>IF(C82="","",IF(OR(W82="Ordered",W82="Received",W82="Installed"),"Ordered",IF(AND(I82&lt;&gt;"",J82&lt;&gt;"",L82&lt;&gt;"",R82&lt;&gt;"",T82&lt;&gt;"",X82&lt;&gt;""),"READY","Missing: "&amp;_xlfn.TEXTJOIN(", ",TRUE,IF(I82="","model",""),IF(J82="","finish",""),IF(L82="","qty",""),IF(R82="","supplier",""),IF(T82="","lead time",""),IF(X82="","approval","")))))</f>
        <v/>
      </c>
      <c r="AA82" s="54" t="str">
        <f>IF(C82="","",IF(OR(W82="Ordered",W82="Received",W82="Installed"),"",IF(AND(G82&lt;&gt;"",X82="",G82&lt;TODAY()),"DECISION OVERDUE",IF(V82="","",IF(V82&lt;TODAY(),"ORDER OVERDUE",IF(V82-TODAY()&lt;=14,"ORDER SOON",""))))))</f>
        <v/>
      </c>
      <c r="AB82" s="35" t="str">
        <f>IF(Q82="","",IF(AND(X82="",Q82&gt;0),Q82,""))</f>
        <v/>
      </c>
      <c r="AC82" s="59" t="n"/>
      <c r="AD82" s="59" t="n"/>
      <c r="AE82" s="60" t="str">
        <f>IF(AND(C82&lt;&gt;"",B82='Client Sign-Off'!$D$7),COUNTIFS($B$6:B82,'Client Sign-Off'!$D$7,$C$6:C82,"?*"),"")</f>
        <v/>
      </c>
    </row>
    <row r="83" ht="18" customHeight="1">
      <c r="A83" s="54" t="str">
        <f>IF(C83="","",ROW()-5)</f>
        <v/>
      </c>
      <c r="B83" s="40" t="n"/>
      <c r="C83" s="40" t="n"/>
      <c r="D83" s="40" t="n"/>
      <c r="E83" s="40" t="n"/>
      <c r="F83" s="40" t="n"/>
      <c r="G83" s="55" t="str">
        <f>IF(F83="","",IFERROR(IF(INDEX(Project!$C$24:$C$27,MATCH(F83,Project!$B$24:$B$27,0))="","",INDEX(Project!$C$24:$C$27,MATCH(F83,Project!$B$24:$B$27,0))),""))</f>
        <v/>
      </c>
      <c r="H83" s="40" t="n"/>
      <c r="I83" s="40" t="n"/>
      <c r="J83" s="40" t="n"/>
      <c r="K83" s="40" t="n"/>
      <c r="L83" s="56" t="n"/>
      <c r="M83" s="40" t="n"/>
      <c r="N83" s="57" t="n"/>
      <c r="O83" s="35" t="str">
        <f>IF(OR(L83="",N83=""),"",L83*N83)</f>
        <v/>
      </c>
      <c r="P83" s="43" t="n"/>
      <c r="Q83" s="36" t="str">
        <f>IF(OR(O83="",P83=""),"",O83-P83)</f>
        <v/>
      </c>
      <c r="R83" s="40" t="n"/>
      <c r="S83" s="40" t="n"/>
      <c r="T83" s="58" t="n"/>
      <c r="U83" s="42" t="n"/>
      <c r="V83" s="55" t="str">
        <f>IF(OR(U83="",T83=""),"",U83-T83)</f>
        <v/>
      </c>
      <c r="W83" s="40" t="n"/>
      <c r="X83" s="42" t="n"/>
      <c r="Y83" s="40" t="n"/>
      <c r="Z83" s="32" t="str">
        <f>IF(C83="","",IF(OR(W83="Ordered",W83="Received",W83="Installed"),"Ordered",IF(AND(I83&lt;&gt;"",J83&lt;&gt;"",L83&lt;&gt;"",R83&lt;&gt;"",T83&lt;&gt;"",X83&lt;&gt;""),"READY","Missing: "&amp;_xlfn.TEXTJOIN(", ",TRUE,IF(I83="","model",""),IF(J83="","finish",""),IF(L83="","qty",""),IF(R83="","supplier",""),IF(T83="","lead time",""),IF(X83="","approval","")))))</f>
        <v/>
      </c>
      <c r="AA83" s="54" t="str">
        <f>IF(C83="","",IF(OR(W83="Ordered",W83="Received",W83="Installed"),"",IF(AND(G83&lt;&gt;"",X83="",G83&lt;TODAY()),"DECISION OVERDUE",IF(V83="","",IF(V83&lt;TODAY(),"ORDER OVERDUE",IF(V83-TODAY()&lt;=14,"ORDER SOON",""))))))</f>
        <v/>
      </c>
      <c r="AB83" s="35" t="str">
        <f>IF(Q83="","",IF(AND(X83="",Q83&gt;0),Q83,""))</f>
        <v/>
      </c>
      <c r="AC83" s="59" t="n"/>
      <c r="AD83" s="59" t="n"/>
      <c r="AE83" s="60" t="str">
        <f>IF(AND(C83&lt;&gt;"",B83='Client Sign-Off'!$D$7),COUNTIFS($B$6:B83,'Client Sign-Off'!$D$7,$C$6:C83,"?*"),"")</f>
        <v/>
      </c>
    </row>
    <row r="84" ht="18" customHeight="1">
      <c r="A84" s="54" t="str">
        <f>IF(C84="","",ROW()-5)</f>
        <v/>
      </c>
      <c r="B84" s="40" t="n"/>
      <c r="C84" s="40" t="n"/>
      <c r="D84" s="40" t="n"/>
      <c r="E84" s="40" t="n"/>
      <c r="F84" s="40" t="n"/>
      <c r="G84" s="55" t="str">
        <f>IF(F84="","",IFERROR(IF(INDEX(Project!$C$24:$C$27,MATCH(F84,Project!$B$24:$B$27,0))="","",INDEX(Project!$C$24:$C$27,MATCH(F84,Project!$B$24:$B$27,0))),""))</f>
        <v/>
      </c>
      <c r="H84" s="40" t="n"/>
      <c r="I84" s="40" t="n"/>
      <c r="J84" s="40" t="n"/>
      <c r="K84" s="40" t="n"/>
      <c r="L84" s="56" t="n"/>
      <c r="M84" s="40" t="n"/>
      <c r="N84" s="57" t="n"/>
      <c r="O84" s="35" t="str">
        <f>IF(OR(L84="",N84=""),"",L84*N84)</f>
        <v/>
      </c>
      <c r="P84" s="43" t="n"/>
      <c r="Q84" s="36" t="str">
        <f>IF(OR(O84="",P84=""),"",O84-P84)</f>
        <v/>
      </c>
      <c r="R84" s="40" t="n"/>
      <c r="S84" s="40" t="n"/>
      <c r="T84" s="58" t="n"/>
      <c r="U84" s="42" t="n"/>
      <c r="V84" s="55" t="str">
        <f>IF(OR(U84="",T84=""),"",U84-T84)</f>
        <v/>
      </c>
      <c r="W84" s="40" t="n"/>
      <c r="X84" s="42" t="n"/>
      <c r="Y84" s="40" t="n"/>
      <c r="Z84" s="32" t="str">
        <f>IF(C84="","",IF(OR(W84="Ordered",W84="Received",W84="Installed"),"Ordered",IF(AND(I84&lt;&gt;"",J84&lt;&gt;"",L84&lt;&gt;"",R84&lt;&gt;"",T84&lt;&gt;"",X84&lt;&gt;""),"READY","Missing: "&amp;_xlfn.TEXTJOIN(", ",TRUE,IF(I84="","model",""),IF(J84="","finish",""),IF(L84="","qty",""),IF(R84="","supplier",""),IF(T84="","lead time",""),IF(X84="","approval","")))))</f>
        <v/>
      </c>
      <c r="AA84" s="54" t="str">
        <f>IF(C84="","",IF(OR(W84="Ordered",W84="Received",W84="Installed"),"",IF(AND(G84&lt;&gt;"",X84="",G84&lt;TODAY()),"DECISION OVERDUE",IF(V84="","",IF(V84&lt;TODAY(),"ORDER OVERDUE",IF(V84-TODAY()&lt;=14,"ORDER SOON",""))))))</f>
        <v/>
      </c>
      <c r="AB84" s="35" t="str">
        <f>IF(Q84="","",IF(AND(X84="",Q84&gt;0),Q84,""))</f>
        <v/>
      </c>
      <c r="AC84" s="59" t="n"/>
      <c r="AD84" s="59" t="n"/>
      <c r="AE84" s="60" t="str">
        <f>IF(AND(C84&lt;&gt;"",B84='Client Sign-Off'!$D$7),COUNTIFS($B$6:B84,'Client Sign-Off'!$D$7,$C$6:C84,"?*"),"")</f>
        <v/>
      </c>
    </row>
    <row r="85" ht="18" customHeight="1">
      <c r="A85" s="54" t="str">
        <f>IF(C85="","",ROW()-5)</f>
        <v/>
      </c>
      <c r="B85" s="40" t="n"/>
      <c r="C85" s="40" t="n"/>
      <c r="D85" s="40" t="n"/>
      <c r="E85" s="40" t="n"/>
      <c r="F85" s="40" t="n"/>
      <c r="G85" s="55" t="str">
        <f>IF(F85="","",IFERROR(IF(INDEX(Project!$C$24:$C$27,MATCH(F85,Project!$B$24:$B$27,0))="","",INDEX(Project!$C$24:$C$27,MATCH(F85,Project!$B$24:$B$27,0))),""))</f>
        <v/>
      </c>
      <c r="H85" s="40" t="n"/>
      <c r="I85" s="40" t="n"/>
      <c r="J85" s="40" t="n"/>
      <c r="K85" s="40" t="n"/>
      <c r="L85" s="56" t="n"/>
      <c r="M85" s="40" t="n"/>
      <c r="N85" s="57" t="n"/>
      <c r="O85" s="35" t="str">
        <f>IF(OR(L85="",N85=""),"",L85*N85)</f>
        <v/>
      </c>
      <c r="P85" s="43" t="n"/>
      <c r="Q85" s="36" t="str">
        <f>IF(OR(O85="",P85=""),"",O85-P85)</f>
        <v/>
      </c>
      <c r="R85" s="40" t="n"/>
      <c r="S85" s="40" t="n"/>
      <c r="T85" s="58" t="n"/>
      <c r="U85" s="42" t="n"/>
      <c r="V85" s="55" t="str">
        <f>IF(OR(U85="",T85=""),"",U85-T85)</f>
        <v/>
      </c>
      <c r="W85" s="40" t="n"/>
      <c r="X85" s="42" t="n"/>
      <c r="Y85" s="40" t="n"/>
      <c r="Z85" s="32" t="str">
        <f>IF(C85="","",IF(OR(W85="Ordered",W85="Received",W85="Installed"),"Ordered",IF(AND(I85&lt;&gt;"",J85&lt;&gt;"",L85&lt;&gt;"",R85&lt;&gt;"",T85&lt;&gt;"",X85&lt;&gt;""),"READY","Missing: "&amp;_xlfn.TEXTJOIN(", ",TRUE,IF(I85="","model",""),IF(J85="","finish",""),IF(L85="","qty",""),IF(R85="","supplier",""),IF(T85="","lead time",""),IF(X85="","approval","")))))</f>
        <v/>
      </c>
      <c r="AA85" s="54" t="str">
        <f>IF(C85="","",IF(OR(W85="Ordered",W85="Received",W85="Installed"),"",IF(AND(G85&lt;&gt;"",X85="",G85&lt;TODAY()),"DECISION OVERDUE",IF(V85="","",IF(V85&lt;TODAY(),"ORDER OVERDUE",IF(V85-TODAY()&lt;=14,"ORDER SOON",""))))))</f>
        <v/>
      </c>
      <c r="AB85" s="35" t="str">
        <f>IF(Q85="","",IF(AND(X85="",Q85&gt;0),Q85,""))</f>
        <v/>
      </c>
      <c r="AC85" s="59" t="n"/>
      <c r="AD85" s="59" t="n"/>
      <c r="AE85" s="60" t="str">
        <f>IF(AND(C85&lt;&gt;"",B85='Client Sign-Off'!$D$7),COUNTIFS($B$6:B85,'Client Sign-Off'!$D$7,$C$6:C85,"?*"),"")</f>
        <v/>
      </c>
    </row>
    <row r="86" ht="18" customHeight="1">
      <c r="A86" s="54" t="str">
        <f>IF(C86="","",ROW()-5)</f>
        <v/>
      </c>
      <c r="B86" s="40" t="n"/>
      <c r="C86" s="40" t="n"/>
      <c r="D86" s="40" t="n"/>
      <c r="E86" s="40" t="n"/>
      <c r="F86" s="40" t="n"/>
      <c r="G86" s="55" t="str">
        <f>IF(F86="","",IFERROR(IF(INDEX(Project!$C$24:$C$27,MATCH(F86,Project!$B$24:$B$27,0))="","",INDEX(Project!$C$24:$C$27,MATCH(F86,Project!$B$24:$B$27,0))),""))</f>
        <v/>
      </c>
      <c r="H86" s="40" t="n"/>
      <c r="I86" s="40" t="n"/>
      <c r="J86" s="40" t="n"/>
      <c r="K86" s="40" t="n"/>
      <c r="L86" s="56" t="n"/>
      <c r="M86" s="40" t="n"/>
      <c r="N86" s="57" t="n"/>
      <c r="O86" s="35" t="str">
        <f>IF(OR(L86="",N86=""),"",L86*N86)</f>
        <v/>
      </c>
      <c r="P86" s="43" t="n"/>
      <c r="Q86" s="36" t="str">
        <f>IF(OR(O86="",P86=""),"",O86-P86)</f>
        <v/>
      </c>
      <c r="R86" s="40" t="n"/>
      <c r="S86" s="40" t="n"/>
      <c r="T86" s="58" t="n"/>
      <c r="U86" s="42" t="n"/>
      <c r="V86" s="55" t="str">
        <f>IF(OR(U86="",T86=""),"",U86-T86)</f>
        <v/>
      </c>
      <c r="W86" s="40" t="n"/>
      <c r="X86" s="42" t="n"/>
      <c r="Y86" s="40" t="n"/>
      <c r="Z86" s="32" t="str">
        <f>IF(C86="","",IF(OR(W86="Ordered",W86="Received",W86="Installed"),"Ordered",IF(AND(I86&lt;&gt;"",J86&lt;&gt;"",L86&lt;&gt;"",R86&lt;&gt;"",T86&lt;&gt;"",X86&lt;&gt;""),"READY","Missing: "&amp;_xlfn.TEXTJOIN(", ",TRUE,IF(I86="","model",""),IF(J86="","finish",""),IF(L86="","qty",""),IF(R86="","supplier",""),IF(T86="","lead time",""),IF(X86="","approval","")))))</f>
        <v/>
      </c>
      <c r="AA86" s="54" t="str">
        <f>IF(C86="","",IF(OR(W86="Ordered",W86="Received",W86="Installed"),"",IF(AND(G86&lt;&gt;"",X86="",G86&lt;TODAY()),"DECISION OVERDUE",IF(V86="","",IF(V86&lt;TODAY(),"ORDER OVERDUE",IF(V86-TODAY()&lt;=14,"ORDER SOON",""))))))</f>
        <v/>
      </c>
      <c r="AB86" s="35" t="str">
        <f>IF(Q86="","",IF(AND(X86="",Q86&gt;0),Q86,""))</f>
        <v/>
      </c>
      <c r="AC86" s="59" t="n"/>
      <c r="AD86" s="59" t="n"/>
      <c r="AE86" s="60" t="str">
        <f>IF(AND(C86&lt;&gt;"",B86='Client Sign-Off'!$D$7),COUNTIFS($B$6:B86,'Client Sign-Off'!$D$7,$C$6:C86,"?*"),"")</f>
        <v/>
      </c>
    </row>
    <row r="87" ht="18" customHeight="1">
      <c r="A87" s="54" t="str">
        <f>IF(C87="","",ROW()-5)</f>
        <v/>
      </c>
      <c r="B87" s="40" t="n"/>
      <c r="C87" s="40" t="n"/>
      <c r="D87" s="40" t="n"/>
      <c r="E87" s="40" t="n"/>
      <c r="F87" s="40" t="n"/>
      <c r="G87" s="55" t="str">
        <f>IF(F87="","",IFERROR(IF(INDEX(Project!$C$24:$C$27,MATCH(F87,Project!$B$24:$B$27,0))="","",INDEX(Project!$C$24:$C$27,MATCH(F87,Project!$B$24:$B$27,0))),""))</f>
        <v/>
      </c>
      <c r="H87" s="40" t="n"/>
      <c r="I87" s="40" t="n"/>
      <c r="J87" s="40" t="n"/>
      <c r="K87" s="40" t="n"/>
      <c r="L87" s="56" t="n"/>
      <c r="M87" s="40" t="n"/>
      <c r="N87" s="57" t="n"/>
      <c r="O87" s="35" t="str">
        <f>IF(OR(L87="",N87=""),"",L87*N87)</f>
        <v/>
      </c>
      <c r="P87" s="43" t="n"/>
      <c r="Q87" s="36" t="str">
        <f>IF(OR(O87="",P87=""),"",O87-P87)</f>
        <v/>
      </c>
      <c r="R87" s="40" t="n"/>
      <c r="S87" s="40" t="n"/>
      <c r="T87" s="58" t="n"/>
      <c r="U87" s="42" t="n"/>
      <c r="V87" s="55" t="str">
        <f>IF(OR(U87="",T87=""),"",U87-T87)</f>
        <v/>
      </c>
      <c r="W87" s="40" t="n"/>
      <c r="X87" s="42" t="n"/>
      <c r="Y87" s="40" t="n"/>
      <c r="Z87" s="32" t="str">
        <f>IF(C87="","",IF(OR(W87="Ordered",W87="Received",W87="Installed"),"Ordered",IF(AND(I87&lt;&gt;"",J87&lt;&gt;"",L87&lt;&gt;"",R87&lt;&gt;"",T87&lt;&gt;"",X87&lt;&gt;""),"READY","Missing: "&amp;_xlfn.TEXTJOIN(", ",TRUE,IF(I87="","model",""),IF(J87="","finish",""),IF(L87="","qty",""),IF(R87="","supplier",""),IF(T87="","lead time",""),IF(X87="","approval","")))))</f>
        <v/>
      </c>
      <c r="AA87" s="54" t="str">
        <f>IF(C87="","",IF(OR(W87="Ordered",W87="Received",W87="Installed"),"",IF(AND(G87&lt;&gt;"",X87="",G87&lt;TODAY()),"DECISION OVERDUE",IF(V87="","",IF(V87&lt;TODAY(),"ORDER OVERDUE",IF(V87-TODAY()&lt;=14,"ORDER SOON",""))))))</f>
        <v/>
      </c>
      <c r="AB87" s="35" t="str">
        <f>IF(Q87="","",IF(AND(X87="",Q87&gt;0),Q87,""))</f>
        <v/>
      </c>
      <c r="AC87" s="59" t="n"/>
      <c r="AD87" s="59" t="n"/>
      <c r="AE87" s="60" t="str">
        <f>IF(AND(C87&lt;&gt;"",B87='Client Sign-Off'!$D$7),COUNTIFS($B$6:B87,'Client Sign-Off'!$D$7,$C$6:C87,"?*"),"")</f>
        <v/>
      </c>
    </row>
    <row r="88" ht="18" customHeight="1">
      <c r="A88" s="54" t="str">
        <f>IF(C88="","",ROW()-5)</f>
        <v/>
      </c>
      <c r="B88" s="40" t="n"/>
      <c r="C88" s="40" t="n"/>
      <c r="D88" s="40" t="n"/>
      <c r="E88" s="40" t="n"/>
      <c r="F88" s="40" t="n"/>
      <c r="G88" s="55" t="str">
        <f>IF(F88="","",IFERROR(IF(INDEX(Project!$C$24:$C$27,MATCH(F88,Project!$B$24:$B$27,0))="","",INDEX(Project!$C$24:$C$27,MATCH(F88,Project!$B$24:$B$27,0))),""))</f>
        <v/>
      </c>
      <c r="H88" s="40" t="n"/>
      <c r="I88" s="40" t="n"/>
      <c r="J88" s="40" t="n"/>
      <c r="K88" s="40" t="n"/>
      <c r="L88" s="56" t="n"/>
      <c r="M88" s="40" t="n"/>
      <c r="N88" s="57" t="n"/>
      <c r="O88" s="35" t="str">
        <f>IF(OR(L88="",N88=""),"",L88*N88)</f>
        <v/>
      </c>
      <c r="P88" s="43" t="n"/>
      <c r="Q88" s="36" t="str">
        <f>IF(OR(O88="",P88=""),"",O88-P88)</f>
        <v/>
      </c>
      <c r="R88" s="40" t="n"/>
      <c r="S88" s="40" t="n"/>
      <c r="T88" s="58" t="n"/>
      <c r="U88" s="42" t="n"/>
      <c r="V88" s="55" t="str">
        <f>IF(OR(U88="",T88=""),"",U88-T88)</f>
        <v/>
      </c>
      <c r="W88" s="40" t="n"/>
      <c r="X88" s="42" t="n"/>
      <c r="Y88" s="40" t="n"/>
      <c r="Z88" s="32" t="str">
        <f>IF(C88="","",IF(OR(W88="Ordered",W88="Received",W88="Installed"),"Ordered",IF(AND(I88&lt;&gt;"",J88&lt;&gt;"",L88&lt;&gt;"",R88&lt;&gt;"",T88&lt;&gt;"",X88&lt;&gt;""),"READY","Missing: "&amp;_xlfn.TEXTJOIN(", ",TRUE,IF(I88="","model",""),IF(J88="","finish",""),IF(L88="","qty",""),IF(R88="","supplier",""),IF(T88="","lead time",""),IF(X88="","approval","")))))</f>
        <v/>
      </c>
      <c r="AA88" s="54" t="str">
        <f>IF(C88="","",IF(OR(W88="Ordered",W88="Received",W88="Installed"),"",IF(AND(G88&lt;&gt;"",X88="",G88&lt;TODAY()),"DECISION OVERDUE",IF(V88="","",IF(V88&lt;TODAY(),"ORDER OVERDUE",IF(V88-TODAY()&lt;=14,"ORDER SOON",""))))))</f>
        <v/>
      </c>
      <c r="AB88" s="35" t="str">
        <f>IF(Q88="","",IF(AND(X88="",Q88&gt;0),Q88,""))</f>
        <v/>
      </c>
      <c r="AC88" s="59" t="n"/>
      <c r="AD88" s="59" t="n"/>
      <c r="AE88" s="60" t="str">
        <f>IF(AND(C88&lt;&gt;"",B88='Client Sign-Off'!$D$7),COUNTIFS($B$6:B88,'Client Sign-Off'!$D$7,$C$6:C88,"?*"),"")</f>
        <v/>
      </c>
    </row>
    <row r="89" ht="18" customHeight="1">
      <c r="A89" s="54" t="str">
        <f>IF(C89="","",ROW()-5)</f>
        <v/>
      </c>
      <c r="B89" s="40" t="n"/>
      <c r="C89" s="40" t="n"/>
      <c r="D89" s="40" t="n"/>
      <c r="E89" s="40" t="n"/>
      <c r="F89" s="40" t="n"/>
      <c r="G89" s="55" t="str">
        <f>IF(F89="","",IFERROR(IF(INDEX(Project!$C$24:$C$27,MATCH(F89,Project!$B$24:$B$27,0))="","",INDEX(Project!$C$24:$C$27,MATCH(F89,Project!$B$24:$B$27,0))),""))</f>
        <v/>
      </c>
      <c r="H89" s="40" t="n"/>
      <c r="I89" s="40" t="n"/>
      <c r="J89" s="40" t="n"/>
      <c r="K89" s="40" t="n"/>
      <c r="L89" s="56" t="n"/>
      <c r="M89" s="40" t="n"/>
      <c r="N89" s="57" t="n"/>
      <c r="O89" s="35" t="str">
        <f>IF(OR(L89="",N89=""),"",L89*N89)</f>
        <v/>
      </c>
      <c r="P89" s="43" t="n"/>
      <c r="Q89" s="36" t="str">
        <f>IF(OR(O89="",P89=""),"",O89-P89)</f>
        <v/>
      </c>
      <c r="R89" s="40" t="n"/>
      <c r="S89" s="40" t="n"/>
      <c r="T89" s="58" t="n"/>
      <c r="U89" s="42" t="n"/>
      <c r="V89" s="55" t="str">
        <f>IF(OR(U89="",T89=""),"",U89-T89)</f>
        <v/>
      </c>
      <c r="W89" s="40" t="n"/>
      <c r="X89" s="42" t="n"/>
      <c r="Y89" s="40" t="n"/>
      <c r="Z89" s="32" t="str">
        <f>IF(C89="","",IF(OR(W89="Ordered",W89="Received",W89="Installed"),"Ordered",IF(AND(I89&lt;&gt;"",J89&lt;&gt;"",L89&lt;&gt;"",R89&lt;&gt;"",T89&lt;&gt;"",X89&lt;&gt;""),"READY","Missing: "&amp;_xlfn.TEXTJOIN(", ",TRUE,IF(I89="","model",""),IF(J89="","finish",""),IF(L89="","qty",""),IF(R89="","supplier",""),IF(T89="","lead time",""),IF(X89="","approval","")))))</f>
        <v/>
      </c>
      <c r="AA89" s="54" t="str">
        <f>IF(C89="","",IF(OR(W89="Ordered",W89="Received",W89="Installed"),"",IF(AND(G89&lt;&gt;"",X89="",G89&lt;TODAY()),"DECISION OVERDUE",IF(V89="","",IF(V89&lt;TODAY(),"ORDER OVERDUE",IF(V89-TODAY()&lt;=14,"ORDER SOON",""))))))</f>
        <v/>
      </c>
      <c r="AB89" s="35" t="str">
        <f>IF(Q89="","",IF(AND(X89="",Q89&gt;0),Q89,""))</f>
        <v/>
      </c>
      <c r="AC89" s="59" t="n"/>
      <c r="AD89" s="59" t="n"/>
      <c r="AE89" s="60" t="str">
        <f>IF(AND(C89&lt;&gt;"",B89='Client Sign-Off'!$D$7),COUNTIFS($B$6:B89,'Client Sign-Off'!$D$7,$C$6:C89,"?*"),"")</f>
        <v/>
      </c>
    </row>
    <row r="90" ht="18" customHeight="1">
      <c r="A90" s="54" t="str">
        <f>IF(C90="","",ROW()-5)</f>
        <v/>
      </c>
      <c r="B90" s="40" t="n"/>
      <c r="C90" s="40" t="n"/>
      <c r="D90" s="40" t="n"/>
      <c r="E90" s="40" t="n"/>
      <c r="F90" s="40" t="n"/>
      <c r="G90" s="55" t="str">
        <f>IF(F90="","",IFERROR(IF(INDEX(Project!$C$24:$C$27,MATCH(F90,Project!$B$24:$B$27,0))="","",INDEX(Project!$C$24:$C$27,MATCH(F90,Project!$B$24:$B$27,0))),""))</f>
        <v/>
      </c>
      <c r="H90" s="40" t="n"/>
      <c r="I90" s="40" t="n"/>
      <c r="J90" s="40" t="n"/>
      <c r="K90" s="40" t="n"/>
      <c r="L90" s="56" t="n"/>
      <c r="M90" s="40" t="n"/>
      <c r="N90" s="57" t="n"/>
      <c r="O90" s="35" t="str">
        <f>IF(OR(L90="",N90=""),"",L90*N90)</f>
        <v/>
      </c>
      <c r="P90" s="43" t="n"/>
      <c r="Q90" s="36" t="str">
        <f>IF(OR(O90="",P90=""),"",O90-P90)</f>
        <v/>
      </c>
      <c r="R90" s="40" t="n"/>
      <c r="S90" s="40" t="n"/>
      <c r="T90" s="58" t="n"/>
      <c r="U90" s="42" t="n"/>
      <c r="V90" s="55" t="str">
        <f>IF(OR(U90="",T90=""),"",U90-T90)</f>
        <v/>
      </c>
      <c r="W90" s="40" t="n"/>
      <c r="X90" s="42" t="n"/>
      <c r="Y90" s="40" t="n"/>
      <c r="Z90" s="32" t="str">
        <f>IF(C90="","",IF(OR(W90="Ordered",W90="Received",W90="Installed"),"Ordered",IF(AND(I90&lt;&gt;"",J90&lt;&gt;"",L90&lt;&gt;"",R90&lt;&gt;"",T90&lt;&gt;"",X90&lt;&gt;""),"READY","Missing: "&amp;_xlfn.TEXTJOIN(", ",TRUE,IF(I90="","model",""),IF(J90="","finish",""),IF(L90="","qty",""),IF(R90="","supplier",""),IF(T90="","lead time",""),IF(X90="","approval","")))))</f>
        <v/>
      </c>
      <c r="AA90" s="54" t="str">
        <f>IF(C90="","",IF(OR(W90="Ordered",W90="Received",W90="Installed"),"",IF(AND(G90&lt;&gt;"",X90="",G90&lt;TODAY()),"DECISION OVERDUE",IF(V90="","",IF(V90&lt;TODAY(),"ORDER OVERDUE",IF(V90-TODAY()&lt;=14,"ORDER SOON",""))))))</f>
        <v/>
      </c>
      <c r="AB90" s="35" t="str">
        <f>IF(Q90="","",IF(AND(X90="",Q90&gt;0),Q90,""))</f>
        <v/>
      </c>
      <c r="AC90" s="59" t="n"/>
      <c r="AD90" s="59" t="n"/>
      <c r="AE90" s="60" t="str">
        <f>IF(AND(C90&lt;&gt;"",B90='Client Sign-Off'!$D$7),COUNTIFS($B$6:B90,'Client Sign-Off'!$D$7,$C$6:C90,"?*"),"")</f>
        <v/>
      </c>
    </row>
    <row r="91" ht="18" customHeight="1">
      <c r="A91" s="54" t="str">
        <f>IF(C91="","",ROW()-5)</f>
        <v/>
      </c>
      <c r="B91" s="40" t="n"/>
      <c r="C91" s="40" t="n"/>
      <c r="D91" s="40" t="n"/>
      <c r="E91" s="40" t="n"/>
      <c r="F91" s="40" t="n"/>
      <c r="G91" s="55" t="str">
        <f>IF(F91="","",IFERROR(IF(INDEX(Project!$C$24:$C$27,MATCH(F91,Project!$B$24:$B$27,0))="","",INDEX(Project!$C$24:$C$27,MATCH(F91,Project!$B$24:$B$27,0))),""))</f>
        <v/>
      </c>
      <c r="H91" s="40" t="n"/>
      <c r="I91" s="40" t="n"/>
      <c r="J91" s="40" t="n"/>
      <c r="K91" s="40" t="n"/>
      <c r="L91" s="56" t="n"/>
      <c r="M91" s="40" t="n"/>
      <c r="N91" s="57" t="n"/>
      <c r="O91" s="35" t="str">
        <f>IF(OR(L91="",N91=""),"",L91*N91)</f>
        <v/>
      </c>
      <c r="P91" s="43" t="n"/>
      <c r="Q91" s="36" t="str">
        <f>IF(OR(O91="",P91=""),"",O91-P91)</f>
        <v/>
      </c>
      <c r="R91" s="40" t="n"/>
      <c r="S91" s="40" t="n"/>
      <c r="T91" s="58" t="n"/>
      <c r="U91" s="42" t="n"/>
      <c r="V91" s="55" t="str">
        <f>IF(OR(U91="",T91=""),"",U91-T91)</f>
        <v/>
      </c>
      <c r="W91" s="40" t="n"/>
      <c r="X91" s="42" t="n"/>
      <c r="Y91" s="40" t="n"/>
      <c r="Z91" s="32" t="str">
        <f>IF(C91="","",IF(OR(W91="Ordered",W91="Received",W91="Installed"),"Ordered",IF(AND(I91&lt;&gt;"",J91&lt;&gt;"",L91&lt;&gt;"",R91&lt;&gt;"",T91&lt;&gt;"",X91&lt;&gt;""),"READY","Missing: "&amp;_xlfn.TEXTJOIN(", ",TRUE,IF(I91="","model",""),IF(J91="","finish",""),IF(L91="","qty",""),IF(R91="","supplier",""),IF(T91="","lead time",""),IF(X91="","approval","")))))</f>
        <v/>
      </c>
      <c r="AA91" s="54" t="str">
        <f>IF(C91="","",IF(OR(W91="Ordered",W91="Received",W91="Installed"),"",IF(AND(G91&lt;&gt;"",X91="",G91&lt;TODAY()),"DECISION OVERDUE",IF(V91="","",IF(V91&lt;TODAY(),"ORDER OVERDUE",IF(V91-TODAY()&lt;=14,"ORDER SOON",""))))))</f>
        <v/>
      </c>
      <c r="AB91" s="35" t="str">
        <f>IF(Q91="","",IF(AND(X91="",Q91&gt;0),Q91,""))</f>
        <v/>
      </c>
      <c r="AC91" s="59" t="n"/>
      <c r="AD91" s="59" t="n"/>
      <c r="AE91" s="60" t="str">
        <f>IF(AND(C91&lt;&gt;"",B91='Client Sign-Off'!$D$7),COUNTIFS($B$6:B91,'Client Sign-Off'!$D$7,$C$6:C91,"?*"),"")</f>
        <v/>
      </c>
    </row>
    <row r="92" ht="18" customHeight="1">
      <c r="A92" s="54" t="str">
        <f>IF(C92="","",ROW()-5)</f>
        <v/>
      </c>
      <c r="B92" s="40" t="n"/>
      <c r="C92" s="40" t="n"/>
      <c r="D92" s="40" t="n"/>
      <c r="E92" s="40" t="n"/>
      <c r="F92" s="40" t="n"/>
      <c r="G92" s="55" t="str">
        <f>IF(F92="","",IFERROR(IF(INDEX(Project!$C$24:$C$27,MATCH(F92,Project!$B$24:$B$27,0))="","",INDEX(Project!$C$24:$C$27,MATCH(F92,Project!$B$24:$B$27,0))),""))</f>
        <v/>
      </c>
      <c r="H92" s="40" t="n"/>
      <c r="I92" s="40" t="n"/>
      <c r="J92" s="40" t="n"/>
      <c r="K92" s="40" t="n"/>
      <c r="L92" s="56" t="n"/>
      <c r="M92" s="40" t="n"/>
      <c r="N92" s="57" t="n"/>
      <c r="O92" s="35" t="str">
        <f>IF(OR(L92="",N92=""),"",L92*N92)</f>
        <v/>
      </c>
      <c r="P92" s="43" t="n"/>
      <c r="Q92" s="36" t="str">
        <f>IF(OR(O92="",P92=""),"",O92-P92)</f>
        <v/>
      </c>
      <c r="R92" s="40" t="n"/>
      <c r="S92" s="40" t="n"/>
      <c r="T92" s="58" t="n"/>
      <c r="U92" s="42" t="n"/>
      <c r="V92" s="55" t="str">
        <f>IF(OR(U92="",T92=""),"",U92-T92)</f>
        <v/>
      </c>
      <c r="W92" s="40" t="n"/>
      <c r="X92" s="42" t="n"/>
      <c r="Y92" s="40" t="n"/>
      <c r="Z92" s="32" t="str">
        <f>IF(C92="","",IF(OR(W92="Ordered",W92="Received",W92="Installed"),"Ordered",IF(AND(I92&lt;&gt;"",J92&lt;&gt;"",L92&lt;&gt;"",R92&lt;&gt;"",T92&lt;&gt;"",X92&lt;&gt;""),"READY","Missing: "&amp;_xlfn.TEXTJOIN(", ",TRUE,IF(I92="","model",""),IF(J92="","finish",""),IF(L92="","qty",""),IF(R92="","supplier",""),IF(T92="","lead time",""),IF(X92="","approval","")))))</f>
        <v/>
      </c>
      <c r="AA92" s="54" t="str">
        <f>IF(C92="","",IF(OR(W92="Ordered",W92="Received",W92="Installed"),"",IF(AND(G92&lt;&gt;"",X92="",G92&lt;TODAY()),"DECISION OVERDUE",IF(V92="","",IF(V92&lt;TODAY(),"ORDER OVERDUE",IF(V92-TODAY()&lt;=14,"ORDER SOON",""))))))</f>
        <v/>
      </c>
      <c r="AB92" s="35" t="str">
        <f>IF(Q92="","",IF(AND(X92="",Q92&gt;0),Q92,""))</f>
        <v/>
      </c>
      <c r="AC92" s="59" t="n"/>
      <c r="AD92" s="59" t="n"/>
      <c r="AE92" s="60" t="str">
        <f>IF(AND(C92&lt;&gt;"",B92='Client Sign-Off'!$D$7),COUNTIFS($B$6:B92,'Client Sign-Off'!$D$7,$C$6:C92,"?*"),"")</f>
        <v/>
      </c>
    </row>
    <row r="93" ht="18" customHeight="1">
      <c r="A93" s="54" t="str">
        <f>IF(C93="","",ROW()-5)</f>
        <v/>
      </c>
      <c r="B93" s="40" t="n"/>
      <c r="C93" s="40" t="n"/>
      <c r="D93" s="40" t="n"/>
      <c r="E93" s="40" t="n"/>
      <c r="F93" s="40" t="n"/>
      <c r="G93" s="55" t="str">
        <f>IF(F93="","",IFERROR(IF(INDEX(Project!$C$24:$C$27,MATCH(F93,Project!$B$24:$B$27,0))="","",INDEX(Project!$C$24:$C$27,MATCH(F93,Project!$B$24:$B$27,0))),""))</f>
        <v/>
      </c>
      <c r="H93" s="40" t="n"/>
      <c r="I93" s="40" t="n"/>
      <c r="J93" s="40" t="n"/>
      <c r="K93" s="40" t="n"/>
      <c r="L93" s="56" t="n"/>
      <c r="M93" s="40" t="n"/>
      <c r="N93" s="57" t="n"/>
      <c r="O93" s="35" t="str">
        <f>IF(OR(L93="",N93=""),"",L93*N93)</f>
        <v/>
      </c>
      <c r="P93" s="43" t="n"/>
      <c r="Q93" s="36" t="str">
        <f>IF(OR(O93="",P93=""),"",O93-P93)</f>
        <v/>
      </c>
      <c r="R93" s="40" t="n"/>
      <c r="S93" s="40" t="n"/>
      <c r="T93" s="58" t="n"/>
      <c r="U93" s="42" t="n"/>
      <c r="V93" s="55" t="str">
        <f>IF(OR(U93="",T93=""),"",U93-T93)</f>
        <v/>
      </c>
      <c r="W93" s="40" t="n"/>
      <c r="X93" s="42" t="n"/>
      <c r="Y93" s="40" t="n"/>
      <c r="Z93" s="32" t="str">
        <f>IF(C93="","",IF(OR(W93="Ordered",W93="Received",W93="Installed"),"Ordered",IF(AND(I93&lt;&gt;"",J93&lt;&gt;"",L93&lt;&gt;"",R93&lt;&gt;"",T93&lt;&gt;"",X93&lt;&gt;""),"READY","Missing: "&amp;_xlfn.TEXTJOIN(", ",TRUE,IF(I93="","model",""),IF(J93="","finish",""),IF(L93="","qty",""),IF(R93="","supplier",""),IF(T93="","lead time",""),IF(X93="","approval","")))))</f>
        <v/>
      </c>
      <c r="AA93" s="54" t="str">
        <f>IF(C93="","",IF(OR(W93="Ordered",W93="Received",W93="Installed"),"",IF(AND(G93&lt;&gt;"",X93="",G93&lt;TODAY()),"DECISION OVERDUE",IF(V93="","",IF(V93&lt;TODAY(),"ORDER OVERDUE",IF(V93-TODAY()&lt;=14,"ORDER SOON",""))))))</f>
        <v/>
      </c>
      <c r="AB93" s="35" t="str">
        <f>IF(Q93="","",IF(AND(X93="",Q93&gt;0),Q93,""))</f>
        <v/>
      </c>
      <c r="AC93" s="59" t="n"/>
      <c r="AD93" s="59" t="n"/>
      <c r="AE93" s="60" t="str">
        <f>IF(AND(C93&lt;&gt;"",B93='Client Sign-Off'!$D$7),COUNTIFS($B$6:B93,'Client Sign-Off'!$D$7,$C$6:C93,"?*"),"")</f>
        <v/>
      </c>
    </row>
    <row r="94" ht="18" customHeight="1">
      <c r="A94" s="54" t="str">
        <f>IF(C94="","",ROW()-5)</f>
        <v/>
      </c>
      <c r="B94" s="40" t="n"/>
      <c r="C94" s="40" t="n"/>
      <c r="D94" s="40" t="n"/>
      <c r="E94" s="40" t="n"/>
      <c r="F94" s="40" t="n"/>
      <c r="G94" s="55" t="str">
        <f>IF(F94="","",IFERROR(IF(INDEX(Project!$C$24:$C$27,MATCH(F94,Project!$B$24:$B$27,0))="","",INDEX(Project!$C$24:$C$27,MATCH(F94,Project!$B$24:$B$27,0))),""))</f>
        <v/>
      </c>
      <c r="H94" s="40" t="n"/>
      <c r="I94" s="40" t="n"/>
      <c r="J94" s="40" t="n"/>
      <c r="K94" s="40" t="n"/>
      <c r="L94" s="56" t="n"/>
      <c r="M94" s="40" t="n"/>
      <c r="N94" s="57" t="n"/>
      <c r="O94" s="35" t="str">
        <f>IF(OR(L94="",N94=""),"",L94*N94)</f>
        <v/>
      </c>
      <c r="P94" s="43" t="n"/>
      <c r="Q94" s="36" t="str">
        <f>IF(OR(O94="",P94=""),"",O94-P94)</f>
        <v/>
      </c>
      <c r="R94" s="40" t="n"/>
      <c r="S94" s="40" t="n"/>
      <c r="T94" s="58" t="n"/>
      <c r="U94" s="42" t="n"/>
      <c r="V94" s="55" t="str">
        <f>IF(OR(U94="",T94=""),"",U94-T94)</f>
        <v/>
      </c>
      <c r="W94" s="40" t="n"/>
      <c r="X94" s="42" t="n"/>
      <c r="Y94" s="40" t="n"/>
      <c r="Z94" s="32" t="str">
        <f>IF(C94="","",IF(OR(W94="Ordered",W94="Received",W94="Installed"),"Ordered",IF(AND(I94&lt;&gt;"",J94&lt;&gt;"",L94&lt;&gt;"",R94&lt;&gt;"",T94&lt;&gt;"",X94&lt;&gt;""),"READY","Missing: "&amp;_xlfn.TEXTJOIN(", ",TRUE,IF(I94="","model",""),IF(J94="","finish",""),IF(L94="","qty",""),IF(R94="","supplier",""),IF(T94="","lead time",""),IF(X94="","approval","")))))</f>
        <v/>
      </c>
      <c r="AA94" s="54" t="str">
        <f>IF(C94="","",IF(OR(W94="Ordered",W94="Received",W94="Installed"),"",IF(AND(G94&lt;&gt;"",X94="",G94&lt;TODAY()),"DECISION OVERDUE",IF(V94="","",IF(V94&lt;TODAY(),"ORDER OVERDUE",IF(V94-TODAY()&lt;=14,"ORDER SOON",""))))))</f>
        <v/>
      </c>
      <c r="AB94" s="35" t="str">
        <f>IF(Q94="","",IF(AND(X94="",Q94&gt;0),Q94,""))</f>
        <v/>
      </c>
      <c r="AC94" s="59" t="n"/>
      <c r="AD94" s="59" t="n"/>
      <c r="AE94" s="60" t="str">
        <f>IF(AND(C94&lt;&gt;"",B94='Client Sign-Off'!$D$7),COUNTIFS($B$6:B94,'Client Sign-Off'!$D$7,$C$6:C94,"?*"),"")</f>
        <v/>
      </c>
    </row>
    <row r="95" ht="18" customHeight="1">
      <c r="A95" s="54" t="str">
        <f>IF(C95="","",ROW()-5)</f>
        <v/>
      </c>
      <c r="B95" s="40" t="n"/>
      <c r="C95" s="40" t="n"/>
      <c r="D95" s="40" t="n"/>
      <c r="E95" s="40" t="n"/>
      <c r="F95" s="40" t="n"/>
      <c r="G95" s="55" t="str">
        <f>IF(F95="","",IFERROR(IF(INDEX(Project!$C$24:$C$27,MATCH(F95,Project!$B$24:$B$27,0))="","",INDEX(Project!$C$24:$C$27,MATCH(F95,Project!$B$24:$B$27,0))),""))</f>
        <v/>
      </c>
      <c r="H95" s="40" t="n"/>
      <c r="I95" s="40" t="n"/>
      <c r="J95" s="40" t="n"/>
      <c r="K95" s="40" t="n"/>
      <c r="L95" s="56" t="n"/>
      <c r="M95" s="40" t="n"/>
      <c r="N95" s="57" t="n"/>
      <c r="O95" s="35" t="str">
        <f>IF(OR(L95="",N95=""),"",L95*N95)</f>
        <v/>
      </c>
      <c r="P95" s="43" t="n"/>
      <c r="Q95" s="36" t="str">
        <f>IF(OR(O95="",P95=""),"",O95-P95)</f>
        <v/>
      </c>
      <c r="R95" s="40" t="n"/>
      <c r="S95" s="40" t="n"/>
      <c r="T95" s="58" t="n"/>
      <c r="U95" s="42" t="n"/>
      <c r="V95" s="55" t="str">
        <f>IF(OR(U95="",T95=""),"",U95-T95)</f>
        <v/>
      </c>
      <c r="W95" s="40" t="n"/>
      <c r="X95" s="42" t="n"/>
      <c r="Y95" s="40" t="n"/>
      <c r="Z95" s="32" t="str">
        <f>IF(C95="","",IF(OR(W95="Ordered",W95="Received",W95="Installed"),"Ordered",IF(AND(I95&lt;&gt;"",J95&lt;&gt;"",L95&lt;&gt;"",R95&lt;&gt;"",T95&lt;&gt;"",X95&lt;&gt;""),"READY","Missing: "&amp;_xlfn.TEXTJOIN(", ",TRUE,IF(I95="","model",""),IF(J95="","finish",""),IF(L95="","qty",""),IF(R95="","supplier",""),IF(T95="","lead time",""),IF(X95="","approval","")))))</f>
        <v/>
      </c>
      <c r="AA95" s="54" t="str">
        <f>IF(C95="","",IF(OR(W95="Ordered",W95="Received",W95="Installed"),"",IF(AND(G95&lt;&gt;"",X95="",G95&lt;TODAY()),"DECISION OVERDUE",IF(V95="","",IF(V95&lt;TODAY(),"ORDER OVERDUE",IF(V95-TODAY()&lt;=14,"ORDER SOON",""))))))</f>
        <v/>
      </c>
      <c r="AB95" s="35" t="str">
        <f>IF(Q95="","",IF(AND(X95="",Q95&gt;0),Q95,""))</f>
        <v/>
      </c>
      <c r="AC95" s="59" t="n"/>
      <c r="AD95" s="59" t="n"/>
      <c r="AE95" s="60" t="str">
        <f>IF(AND(C95&lt;&gt;"",B95='Client Sign-Off'!$D$7),COUNTIFS($B$6:B95,'Client Sign-Off'!$D$7,$C$6:C95,"?*"),"")</f>
        <v/>
      </c>
    </row>
    <row r="96" ht="18" customHeight="1">
      <c r="A96" s="54" t="str">
        <f>IF(C96="","",ROW()-5)</f>
        <v/>
      </c>
      <c r="B96" s="40" t="n"/>
      <c r="C96" s="40" t="n"/>
      <c r="D96" s="40" t="n"/>
      <c r="E96" s="40" t="n"/>
      <c r="F96" s="40" t="n"/>
      <c r="G96" s="55" t="str">
        <f>IF(F96="","",IFERROR(IF(INDEX(Project!$C$24:$C$27,MATCH(F96,Project!$B$24:$B$27,0))="","",INDEX(Project!$C$24:$C$27,MATCH(F96,Project!$B$24:$B$27,0))),""))</f>
        <v/>
      </c>
      <c r="H96" s="40" t="n"/>
      <c r="I96" s="40" t="n"/>
      <c r="J96" s="40" t="n"/>
      <c r="K96" s="40" t="n"/>
      <c r="L96" s="56" t="n"/>
      <c r="M96" s="40" t="n"/>
      <c r="N96" s="57" t="n"/>
      <c r="O96" s="35" t="str">
        <f>IF(OR(L96="",N96=""),"",L96*N96)</f>
        <v/>
      </c>
      <c r="P96" s="43" t="n"/>
      <c r="Q96" s="36" t="str">
        <f>IF(OR(O96="",P96=""),"",O96-P96)</f>
        <v/>
      </c>
      <c r="R96" s="40" t="n"/>
      <c r="S96" s="40" t="n"/>
      <c r="T96" s="58" t="n"/>
      <c r="U96" s="42" t="n"/>
      <c r="V96" s="55" t="str">
        <f>IF(OR(U96="",T96=""),"",U96-T96)</f>
        <v/>
      </c>
      <c r="W96" s="40" t="n"/>
      <c r="X96" s="42" t="n"/>
      <c r="Y96" s="40" t="n"/>
      <c r="Z96" s="32" t="str">
        <f>IF(C96="","",IF(OR(W96="Ordered",W96="Received",W96="Installed"),"Ordered",IF(AND(I96&lt;&gt;"",J96&lt;&gt;"",L96&lt;&gt;"",R96&lt;&gt;"",T96&lt;&gt;"",X96&lt;&gt;""),"READY","Missing: "&amp;_xlfn.TEXTJOIN(", ",TRUE,IF(I96="","model",""),IF(J96="","finish",""),IF(L96="","qty",""),IF(R96="","supplier",""),IF(T96="","lead time",""),IF(X96="","approval","")))))</f>
        <v/>
      </c>
      <c r="AA96" s="54" t="str">
        <f>IF(C96="","",IF(OR(W96="Ordered",W96="Received",W96="Installed"),"",IF(AND(G96&lt;&gt;"",X96="",G96&lt;TODAY()),"DECISION OVERDUE",IF(V96="","",IF(V96&lt;TODAY(),"ORDER OVERDUE",IF(V96-TODAY()&lt;=14,"ORDER SOON",""))))))</f>
        <v/>
      </c>
      <c r="AB96" s="35" t="str">
        <f>IF(Q96="","",IF(AND(X96="",Q96&gt;0),Q96,""))</f>
        <v/>
      </c>
      <c r="AC96" s="59" t="n"/>
      <c r="AD96" s="59" t="n"/>
      <c r="AE96" s="60" t="str">
        <f>IF(AND(C96&lt;&gt;"",B96='Client Sign-Off'!$D$7),COUNTIFS($B$6:B96,'Client Sign-Off'!$D$7,$C$6:C96,"?*"),"")</f>
        <v/>
      </c>
    </row>
    <row r="97" ht="18" customHeight="1">
      <c r="A97" s="54" t="str">
        <f>IF(C97="","",ROW()-5)</f>
        <v/>
      </c>
      <c r="B97" s="40" t="n"/>
      <c r="C97" s="40" t="n"/>
      <c r="D97" s="40" t="n"/>
      <c r="E97" s="40" t="n"/>
      <c r="F97" s="40" t="n"/>
      <c r="G97" s="55" t="str">
        <f>IF(F97="","",IFERROR(IF(INDEX(Project!$C$24:$C$27,MATCH(F97,Project!$B$24:$B$27,0))="","",INDEX(Project!$C$24:$C$27,MATCH(F97,Project!$B$24:$B$27,0))),""))</f>
        <v/>
      </c>
      <c r="H97" s="40" t="n"/>
      <c r="I97" s="40" t="n"/>
      <c r="J97" s="40" t="n"/>
      <c r="K97" s="40" t="n"/>
      <c r="L97" s="56" t="n"/>
      <c r="M97" s="40" t="n"/>
      <c r="N97" s="57" t="n"/>
      <c r="O97" s="35" t="str">
        <f>IF(OR(L97="",N97=""),"",L97*N97)</f>
        <v/>
      </c>
      <c r="P97" s="43" t="n"/>
      <c r="Q97" s="36" t="str">
        <f>IF(OR(O97="",P97=""),"",O97-P97)</f>
        <v/>
      </c>
      <c r="R97" s="40" t="n"/>
      <c r="S97" s="40" t="n"/>
      <c r="T97" s="58" t="n"/>
      <c r="U97" s="42" t="n"/>
      <c r="V97" s="55" t="str">
        <f>IF(OR(U97="",T97=""),"",U97-T97)</f>
        <v/>
      </c>
      <c r="W97" s="40" t="n"/>
      <c r="X97" s="42" t="n"/>
      <c r="Y97" s="40" t="n"/>
      <c r="Z97" s="32" t="str">
        <f>IF(C97="","",IF(OR(W97="Ordered",W97="Received",W97="Installed"),"Ordered",IF(AND(I97&lt;&gt;"",J97&lt;&gt;"",L97&lt;&gt;"",R97&lt;&gt;"",T97&lt;&gt;"",X97&lt;&gt;""),"READY","Missing: "&amp;_xlfn.TEXTJOIN(", ",TRUE,IF(I97="","model",""),IF(J97="","finish",""),IF(L97="","qty",""),IF(R97="","supplier",""),IF(T97="","lead time",""),IF(X97="","approval","")))))</f>
        <v/>
      </c>
      <c r="AA97" s="54" t="str">
        <f>IF(C97="","",IF(OR(W97="Ordered",W97="Received",W97="Installed"),"",IF(AND(G97&lt;&gt;"",X97="",G97&lt;TODAY()),"DECISION OVERDUE",IF(V97="","",IF(V97&lt;TODAY(),"ORDER OVERDUE",IF(V97-TODAY()&lt;=14,"ORDER SOON",""))))))</f>
        <v/>
      </c>
      <c r="AB97" s="35" t="str">
        <f>IF(Q97="","",IF(AND(X97="",Q97&gt;0),Q97,""))</f>
        <v/>
      </c>
      <c r="AC97" s="59" t="n"/>
      <c r="AD97" s="59" t="n"/>
      <c r="AE97" s="60" t="str">
        <f>IF(AND(C97&lt;&gt;"",B97='Client Sign-Off'!$D$7),COUNTIFS($B$6:B97,'Client Sign-Off'!$D$7,$C$6:C97,"?*"),"")</f>
        <v/>
      </c>
    </row>
    <row r="98" ht="18" customHeight="1">
      <c r="A98" s="54" t="str">
        <f>IF(C98="","",ROW()-5)</f>
        <v/>
      </c>
      <c r="B98" s="40" t="n"/>
      <c r="C98" s="40" t="n"/>
      <c r="D98" s="40" t="n"/>
      <c r="E98" s="40" t="n"/>
      <c r="F98" s="40" t="n"/>
      <c r="G98" s="55" t="str">
        <f>IF(F98="","",IFERROR(IF(INDEX(Project!$C$24:$C$27,MATCH(F98,Project!$B$24:$B$27,0))="","",INDEX(Project!$C$24:$C$27,MATCH(F98,Project!$B$24:$B$27,0))),""))</f>
        <v/>
      </c>
      <c r="H98" s="40" t="n"/>
      <c r="I98" s="40" t="n"/>
      <c r="J98" s="40" t="n"/>
      <c r="K98" s="40" t="n"/>
      <c r="L98" s="56" t="n"/>
      <c r="M98" s="40" t="n"/>
      <c r="N98" s="57" t="n"/>
      <c r="O98" s="35" t="str">
        <f>IF(OR(L98="",N98=""),"",L98*N98)</f>
        <v/>
      </c>
      <c r="P98" s="43" t="n"/>
      <c r="Q98" s="36" t="str">
        <f>IF(OR(O98="",P98=""),"",O98-P98)</f>
        <v/>
      </c>
      <c r="R98" s="40" t="n"/>
      <c r="S98" s="40" t="n"/>
      <c r="T98" s="58" t="n"/>
      <c r="U98" s="42" t="n"/>
      <c r="V98" s="55" t="str">
        <f>IF(OR(U98="",T98=""),"",U98-T98)</f>
        <v/>
      </c>
      <c r="W98" s="40" t="n"/>
      <c r="X98" s="42" t="n"/>
      <c r="Y98" s="40" t="n"/>
      <c r="Z98" s="32" t="str">
        <f>IF(C98="","",IF(OR(W98="Ordered",W98="Received",W98="Installed"),"Ordered",IF(AND(I98&lt;&gt;"",J98&lt;&gt;"",L98&lt;&gt;"",R98&lt;&gt;"",T98&lt;&gt;"",X98&lt;&gt;""),"READY","Missing: "&amp;_xlfn.TEXTJOIN(", ",TRUE,IF(I98="","model",""),IF(J98="","finish",""),IF(L98="","qty",""),IF(R98="","supplier",""),IF(T98="","lead time",""),IF(X98="","approval","")))))</f>
        <v/>
      </c>
      <c r="AA98" s="54" t="str">
        <f>IF(C98="","",IF(OR(W98="Ordered",W98="Received",W98="Installed"),"",IF(AND(G98&lt;&gt;"",X98="",G98&lt;TODAY()),"DECISION OVERDUE",IF(V98="","",IF(V98&lt;TODAY(),"ORDER OVERDUE",IF(V98-TODAY()&lt;=14,"ORDER SOON",""))))))</f>
        <v/>
      </c>
      <c r="AB98" s="35" t="str">
        <f>IF(Q98="","",IF(AND(X98="",Q98&gt;0),Q98,""))</f>
        <v/>
      </c>
      <c r="AC98" s="59" t="n"/>
      <c r="AD98" s="59" t="n"/>
      <c r="AE98" s="60" t="str">
        <f>IF(AND(C98&lt;&gt;"",B98='Client Sign-Off'!$D$7),COUNTIFS($B$6:B98,'Client Sign-Off'!$D$7,$C$6:C98,"?*"),"")</f>
        <v/>
      </c>
    </row>
    <row r="99" ht="18" customHeight="1">
      <c r="A99" s="54" t="str">
        <f>IF(C99="","",ROW()-5)</f>
        <v/>
      </c>
      <c r="B99" s="40" t="n"/>
      <c r="C99" s="40" t="n"/>
      <c r="D99" s="40" t="n"/>
      <c r="E99" s="40" t="n"/>
      <c r="F99" s="40" t="n"/>
      <c r="G99" s="55" t="str">
        <f>IF(F99="","",IFERROR(IF(INDEX(Project!$C$24:$C$27,MATCH(F99,Project!$B$24:$B$27,0))="","",INDEX(Project!$C$24:$C$27,MATCH(F99,Project!$B$24:$B$27,0))),""))</f>
        <v/>
      </c>
      <c r="H99" s="40" t="n"/>
      <c r="I99" s="40" t="n"/>
      <c r="J99" s="40" t="n"/>
      <c r="K99" s="40" t="n"/>
      <c r="L99" s="56" t="n"/>
      <c r="M99" s="40" t="n"/>
      <c r="N99" s="57" t="n"/>
      <c r="O99" s="35" t="str">
        <f>IF(OR(L99="",N99=""),"",L99*N99)</f>
        <v/>
      </c>
      <c r="P99" s="43" t="n"/>
      <c r="Q99" s="36" t="str">
        <f>IF(OR(O99="",P99=""),"",O99-P99)</f>
        <v/>
      </c>
      <c r="R99" s="40" t="n"/>
      <c r="S99" s="40" t="n"/>
      <c r="T99" s="58" t="n"/>
      <c r="U99" s="42" t="n"/>
      <c r="V99" s="55" t="str">
        <f>IF(OR(U99="",T99=""),"",U99-T99)</f>
        <v/>
      </c>
      <c r="W99" s="40" t="n"/>
      <c r="X99" s="42" t="n"/>
      <c r="Y99" s="40" t="n"/>
      <c r="Z99" s="32" t="str">
        <f>IF(C99="","",IF(OR(W99="Ordered",W99="Received",W99="Installed"),"Ordered",IF(AND(I99&lt;&gt;"",J99&lt;&gt;"",L99&lt;&gt;"",R99&lt;&gt;"",T99&lt;&gt;"",X99&lt;&gt;""),"READY","Missing: "&amp;_xlfn.TEXTJOIN(", ",TRUE,IF(I99="","model",""),IF(J99="","finish",""),IF(L99="","qty",""),IF(R99="","supplier",""),IF(T99="","lead time",""),IF(X99="","approval","")))))</f>
        <v/>
      </c>
      <c r="AA99" s="54" t="str">
        <f>IF(C99="","",IF(OR(W99="Ordered",W99="Received",W99="Installed"),"",IF(AND(G99&lt;&gt;"",X99="",G99&lt;TODAY()),"DECISION OVERDUE",IF(V99="","",IF(V99&lt;TODAY(),"ORDER OVERDUE",IF(V99-TODAY()&lt;=14,"ORDER SOON",""))))))</f>
        <v/>
      </c>
      <c r="AB99" s="35" t="str">
        <f>IF(Q99="","",IF(AND(X99="",Q99&gt;0),Q99,""))</f>
        <v/>
      </c>
      <c r="AC99" s="59" t="n"/>
      <c r="AD99" s="59" t="n"/>
      <c r="AE99" s="60" t="str">
        <f>IF(AND(C99&lt;&gt;"",B99='Client Sign-Off'!$D$7),COUNTIFS($B$6:B99,'Client Sign-Off'!$D$7,$C$6:C99,"?*"),"")</f>
        <v/>
      </c>
    </row>
    <row r="100" ht="18" customHeight="1">
      <c r="A100" s="54" t="str">
        <f>IF(C100="","",ROW()-5)</f>
        <v/>
      </c>
      <c r="B100" s="40" t="n"/>
      <c r="C100" s="40" t="n"/>
      <c r="D100" s="40" t="n"/>
      <c r="E100" s="40" t="n"/>
      <c r="F100" s="40" t="n"/>
      <c r="G100" s="55" t="str">
        <f>IF(F100="","",IFERROR(IF(INDEX(Project!$C$24:$C$27,MATCH(F100,Project!$B$24:$B$27,0))="","",INDEX(Project!$C$24:$C$27,MATCH(F100,Project!$B$24:$B$27,0))),""))</f>
        <v/>
      </c>
      <c r="H100" s="40" t="n"/>
      <c r="I100" s="40" t="n"/>
      <c r="J100" s="40" t="n"/>
      <c r="K100" s="40" t="n"/>
      <c r="L100" s="56" t="n"/>
      <c r="M100" s="40" t="n"/>
      <c r="N100" s="57" t="n"/>
      <c r="O100" s="35" t="str">
        <f>IF(OR(L100="",N100=""),"",L100*N100)</f>
        <v/>
      </c>
      <c r="P100" s="43" t="n"/>
      <c r="Q100" s="36" t="str">
        <f>IF(OR(O100="",P100=""),"",O100-P100)</f>
        <v/>
      </c>
      <c r="R100" s="40" t="n"/>
      <c r="S100" s="40" t="n"/>
      <c r="T100" s="58" t="n"/>
      <c r="U100" s="42" t="n"/>
      <c r="V100" s="55" t="str">
        <f>IF(OR(U100="",T100=""),"",U100-T100)</f>
        <v/>
      </c>
      <c r="W100" s="40" t="n"/>
      <c r="X100" s="42" t="n"/>
      <c r="Y100" s="40" t="n"/>
      <c r="Z100" s="32" t="str">
        <f>IF(C100="","",IF(OR(W100="Ordered",W100="Received",W100="Installed"),"Ordered",IF(AND(I100&lt;&gt;"",J100&lt;&gt;"",L100&lt;&gt;"",R100&lt;&gt;"",T100&lt;&gt;"",X100&lt;&gt;""),"READY","Missing: "&amp;_xlfn.TEXTJOIN(", ",TRUE,IF(I100="","model",""),IF(J100="","finish",""),IF(L100="","qty",""),IF(R100="","supplier",""),IF(T100="","lead time",""),IF(X100="","approval","")))))</f>
        <v/>
      </c>
      <c r="AA100" s="54" t="str">
        <f>IF(C100="","",IF(OR(W100="Ordered",W100="Received",W100="Installed"),"",IF(AND(G100&lt;&gt;"",X100="",G100&lt;TODAY()),"DECISION OVERDUE",IF(V100="","",IF(V100&lt;TODAY(),"ORDER OVERDUE",IF(V100-TODAY()&lt;=14,"ORDER SOON",""))))))</f>
        <v/>
      </c>
      <c r="AB100" s="35" t="str">
        <f>IF(Q100="","",IF(AND(X100="",Q100&gt;0),Q100,""))</f>
        <v/>
      </c>
      <c r="AC100" s="59" t="n"/>
      <c r="AD100" s="59" t="n"/>
      <c r="AE100" s="60" t="str">
        <f>IF(AND(C100&lt;&gt;"",B100='Client Sign-Off'!$D$7),COUNTIFS($B$6:B100,'Client Sign-Off'!$D$7,$C$6:C100,"?*"),"")</f>
        <v/>
      </c>
    </row>
    <row r="101" ht="18" customHeight="1">
      <c r="A101" s="54" t="str">
        <f>IF(C101="","",ROW()-5)</f>
        <v/>
      </c>
      <c r="B101" s="40" t="n"/>
      <c r="C101" s="40" t="n"/>
      <c r="D101" s="40" t="n"/>
      <c r="E101" s="40" t="n"/>
      <c r="F101" s="40" t="n"/>
      <c r="G101" s="55" t="str">
        <f>IF(F101="","",IFERROR(IF(INDEX(Project!$C$24:$C$27,MATCH(F101,Project!$B$24:$B$27,0))="","",INDEX(Project!$C$24:$C$27,MATCH(F101,Project!$B$24:$B$27,0))),""))</f>
        <v/>
      </c>
      <c r="H101" s="40" t="n"/>
      <c r="I101" s="40" t="n"/>
      <c r="J101" s="40" t="n"/>
      <c r="K101" s="40" t="n"/>
      <c r="L101" s="56" t="n"/>
      <c r="M101" s="40" t="n"/>
      <c r="N101" s="57" t="n"/>
      <c r="O101" s="35" t="str">
        <f>IF(OR(L101="",N101=""),"",L101*N101)</f>
        <v/>
      </c>
      <c r="P101" s="43" t="n"/>
      <c r="Q101" s="36" t="str">
        <f>IF(OR(O101="",P101=""),"",O101-P101)</f>
        <v/>
      </c>
      <c r="R101" s="40" t="n"/>
      <c r="S101" s="40" t="n"/>
      <c r="T101" s="58" t="n"/>
      <c r="U101" s="42" t="n"/>
      <c r="V101" s="55" t="str">
        <f>IF(OR(U101="",T101=""),"",U101-T101)</f>
        <v/>
      </c>
      <c r="W101" s="40" t="n"/>
      <c r="X101" s="42" t="n"/>
      <c r="Y101" s="40" t="n"/>
      <c r="Z101" s="32" t="str">
        <f>IF(C101="","",IF(OR(W101="Ordered",W101="Received",W101="Installed"),"Ordered",IF(AND(I101&lt;&gt;"",J101&lt;&gt;"",L101&lt;&gt;"",R101&lt;&gt;"",T101&lt;&gt;"",X101&lt;&gt;""),"READY","Missing: "&amp;_xlfn.TEXTJOIN(", ",TRUE,IF(I101="","model",""),IF(J101="","finish",""),IF(L101="","qty",""),IF(R101="","supplier",""),IF(T101="","lead time",""),IF(X101="","approval","")))))</f>
        <v/>
      </c>
      <c r="AA101" s="54" t="str">
        <f>IF(C101="","",IF(OR(W101="Ordered",W101="Received",W101="Installed"),"",IF(AND(G101&lt;&gt;"",X101="",G101&lt;TODAY()),"DECISION OVERDUE",IF(V101="","",IF(V101&lt;TODAY(),"ORDER OVERDUE",IF(V101-TODAY()&lt;=14,"ORDER SOON",""))))))</f>
        <v/>
      </c>
      <c r="AB101" s="35" t="str">
        <f>IF(Q101="","",IF(AND(X101="",Q101&gt;0),Q101,""))</f>
        <v/>
      </c>
      <c r="AC101" s="59" t="n"/>
      <c r="AD101" s="59" t="n"/>
      <c r="AE101" s="60" t="str">
        <f>IF(AND(C101&lt;&gt;"",B101='Client Sign-Off'!$D$7),COUNTIFS($B$6:B101,'Client Sign-Off'!$D$7,$C$6:C101,"?*"),"")</f>
        <v/>
      </c>
    </row>
    <row r="102" ht="18" customHeight="1">
      <c r="A102" s="54" t="str">
        <f>IF(C102="","",ROW()-5)</f>
        <v/>
      </c>
      <c r="B102" s="40" t="n"/>
      <c r="C102" s="40" t="n"/>
      <c r="D102" s="40" t="n"/>
      <c r="E102" s="40" t="n"/>
      <c r="F102" s="40" t="n"/>
      <c r="G102" s="55" t="str">
        <f>IF(F102="","",IFERROR(IF(INDEX(Project!$C$24:$C$27,MATCH(F102,Project!$B$24:$B$27,0))="","",INDEX(Project!$C$24:$C$27,MATCH(F102,Project!$B$24:$B$27,0))),""))</f>
        <v/>
      </c>
      <c r="H102" s="40" t="n"/>
      <c r="I102" s="40" t="n"/>
      <c r="J102" s="40" t="n"/>
      <c r="K102" s="40" t="n"/>
      <c r="L102" s="56" t="n"/>
      <c r="M102" s="40" t="n"/>
      <c r="N102" s="57" t="n"/>
      <c r="O102" s="35" t="str">
        <f>IF(OR(L102="",N102=""),"",L102*N102)</f>
        <v/>
      </c>
      <c r="P102" s="43" t="n"/>
      <c r="Q102" s="36" t="str">
        <f>IF(OR(O102="",P102=""),"",O102-P102)</f>
        <v/>
      </c>
      <c r="R102" s="40" t="n"/>
      <c r="S102" s="40" t="n"/>
      <c r="T102" s="58" t="n"/>
      <c r="U102" s="42" t="n"/>
      <c r="V102" s="55" t="str">
        <f>IF(OR(U102="",T102=""),"",U102-T102)</f>
        <v/>
      </c>
      <c r="W102" s="40" t="n"/>
      <c r="X102" s="42" t="n"/>
      <c r="Y102" s="40" t="n"/>
      <c r="Z102" s="32" t="str">
        <f>IF(C102="","",IF(OR(W102="Ordered",W102="Received",W102="Installed"),"Ordered",IF(AND(I102&lt;&gt;"",J102&lt;&gt;"",L102&lt;&gt;"",R102&lt;&gt;"",T102&lt;&gt;"",X102&lt;&gt;""),"READY","Missing: "&amp;_xlfn.TEXTJOIN(", ",TRUE,IF(I102="","model",""),IF(J102="","finish",""),IF(L102="","qty",""),IF(R102="","supplier",""),IF(T102="","lead time",""),IF(X102="","approval","")))))</f>
        <v/>
      </c>
      <c r="AA102" s="54" t="str">
        <f>IF(C102="","",IF(OR(W102="Ordered",W102="Received",W102="Installed"),"",IF(AND(G102&lt;&gt;"",X102="",G102&lt;TODAY()),"DECISION OVERDUE",IF(V102="","",IF(V102&lt;TODAY(),"ORDER OVERDUE",IF(V102-TODAY()&lt;=14,"ORDER SOON",""))))))</f>
        <v/>
      </c>
      <c r="AB102" s="35" t="str">
        <f>IF(Q102="","",IF(AND(X102="",Q102&gt;0),Q102,""))</f>
        <v/>
      </c>
      <c r="AC102" s="59" t="n"/>
      <c r="AD102" s="59" t="n"/>
      <c r="AE102" s="60" t="str">
        <f>IF(AND(C102&lt;&gt;"",B102='Client Sign-Off'!$D$7),COUNTIFS($B$6:B102,'Client Sign-Off'!$D$7,$C$6:C102,"?*"),"")</f>
        <v/>
      </c>
    </row>
    <row r="103" ht="18" customHeight="1">
      <c r="A103" s="54" t="str">
        <f>IF(C103="","",ROW()-5)</f>
        <v/>
      </c>
      <c r="B103" s="40" t="n"/>
      <c r="C103" s="40" t="n"/>
      <c r="D103" s="40" t="n"/>
      <c r="E103" s="40" t="n"/>
      <c r="F103" s="40" t="n"/>
      <c r="G103" s="55" t="str">
        <f>IF(F103="","",IFERROR(IF(INDEX(Project!$C$24:$C$27,MATCH(F103,Project!$B$24:$B$27,0))="","",INDEX(Project!$C$24:$C$27,MATCH(F103,Project!$B$24:$B$27,0))),""))</f>
        <v/>
      </c>
      <c r="H103" s="40" t="n"/>
      <c r="I103" s="40" t="n"/>
      <c r="J103" s="40" t="n"/>
      <c r="K103" s="40" t="n"/>
      <c r="L103" s="56" t="n"/>
      <c r="M103" s="40" t="n"/>
      <c r="N103" s="57" t="n"/>
      <c r="O103" s="35" t="str">
        <f>IF(OR(L103="",N103=""),"",L103*N103)</f>
        <v/>
      </c>
      <c r="P103" s="43" t="n"/>
      <c r="Q103" s="36" t="str">
        <f>IF(OR(O103="",P103=""),"",O103-P103)</f>
        <v/>
      </c>
      <c r="R103" s="40" t="n"/>
      <c r="S103" s="40" t="n"/>
      <c r="T103" s="58" t="n"/>
      <c r="U103" s="42" t="n"/>
      <c r="V103" s="55" t="str">
        <f>IF(OR(U103="",T103=""),"",U103-T103)</f>
        <v/>
      </c>
      <c r="W103" s="40" t="n"/>
      <c r="X103" s="42" t="n"/>
      <c r="Y103" s="40" t="n"/>
      <c r="Z103" s="32" t="str">
        <f>IF(C103="","",IF(OR(W103="Ordered",W103="Received",W103="Installed"),"Ordered",IF(AND(I103&lt;&gt;"",J103&lt;&gt;"",L103&lt;&gt;"",R103&lt;&gt;"",T103&lt;&gt;"",X103&lt;&gt;""),"READY","Missing: "&amp;_xlfn.TEXTJOIN(", ",TRUE,IF(I103="","model",""),IF(J103="","finish",""),IF(L103="","qty",""),IF(R103="","supplier",""),IF(T103="","lead time",""),IF(X103="","approval","")))))</f>
        <v/>
      </c>
      <c r="AA103" s="54" t="str">
        <f>IF(C103="","",IF(OR(W103="Ordered",W103="Received",W103="Installed"),"",IF(AND(G103&lt;&gt;"",X103="",G103&lt;TODAY()),"DECISION OVERDUE",IF(V103="","",IF(V103&lt;TODAY(),"ORDER OVERDUE",IF(V103-TODAY()&lt;=14,"ORDER SOON",""))))))</f>
        <v/>
      </c>
      <c r="AB103" s="35" t="str">
        <f>IF(Q103="","",IF(AND(X103="",Q103&gt;0),Q103,""))</f>
        <v/>
      </c>
      <c r="AC103" s="59" t="n"/>
      <c r="AD103" s="59" t="n"/>
      <c r="AE103" s="60" t="str">
        <f>IF(AND(C103&lt;&gt;"",B103='Client Sign-Off'!$D$7),COUNTIFS($B$6:B103,'Client Sign-Off'!$D$7,$C$6:C103,"?*"),"")</f>
        <v/>
      </c>
    </row>
    <row r="104" ht="18" customHeight="1">
      <c r="A104" s="54" t="str">
        <f>IF(C104="","",ROW()-5)</f>
        <v/>
      </c>
      <c r="B104" s="40" t="n"/>
      <c r="C104" s="40" t="n"/>
      <c r="D104" s="40" t="n"/>
      <c r="E104" s="40" t="n"/>
      <c r="F104" s="40" t="n"/>
      <c r="G104" s="55" t="str">
        <f>IF(F104="","",IFERROR(IF(INDEX(Project!$C$24:$C$27,MATCH(F104,Project!$B$24:$B$27,0))="","",INDEX(Project!$C$24:$C$27,MATCH(F104,Project!$B$24:$B$27,0))),""))</f>
        <v/>
      </c>
      <c r="H104" s="40" t="n"/>
      <c r="I104" s="40" t="n"/>
      <c r="J104" s="40" t="n"/>
      <c r="K104" s="40" t="n"/>
      <c r="L104" s="56" t="n"/>
      <c r="M104" s="40" t="n"/>
      <c r="N104" s="57" t="n"/>
      <c r="O104" s="35" t="str">
        <f>IF(OR(L104="",N104=""),"",L104*N104)</f>
        <v/>
      </c>
      <c r="P104" s="43" t="n"/>
      <c r="Q104" s="36" t="str">
        <f>IF(OR(O104="",P104=""),"",O104-P104)</f>
        <v/>
      </c>
      <c r="R104" s="40" t="n"/>
      <c r="S104" s="40" t="n"/>
      <c r="T104" s="58" t="n"/>
      <c r="U104" s="42" t="n"/>
      <c r="V104" s="55" t="str">
        <f>IF(OR(U104="",T104=""),"",U104-T104)</f>
        <v/>
      </c>
      <c r="W104" s="40" t="n"/>
      <c r="X104" s="42" t="n"/>
      <c r="Y104" s="40" t="n"/>
      <c r="Z104" s="32" t="str">
        <f>IF(C104="","",IF(OR(W104="Ordered",W104="Received",W104="Installed"),"Ordered",IF(AND(I104&lt;&gt;"",J104&lt;&gt;"",L104&lt;&gt;"",R104&lt;&gt;"",T104&lt;&gt;"",X104&lt;&gt;""),"READY","Missing: "&amp;_xlfn.TEXTJOIN(", ",TRUE,IF(I104="","model",""),IF(J104="","finish",""),IF(L104="","qty",""),IF(R104="","supplier",""),IF(T104="","lead time",""),IF(X104="","approval","")))))</f>
        <v/>
      </c>
      <c r="AA104" s="54" t="str">
        <f>IF(C104="","",IF(OR(W104="Ordered",W104="Received",W104="Installed"),"",IF(AND(G104&lt;&gt;"",X104="",G104&lt;TODAY()),"DECISION OVERDUE",IF(V104="","",IF(V104&lt;TODAY(),"ORDER OVERDUE",IF(V104-TODAY()&lt;=14,"ORDER SOON",""))))))</f>
        <v/>
      </c>
      <c r="AB104" s="35" t="str">
        <f>IF(Q104="","",IF(AND(X104="",Q104&gt;0),Q104,""))</f>
        <v/>
      </c>
      <c r="AC104" s="59" t="n"/>
      <c r="AD104" s="59" t="n"/>
      <c r="AE104" s="60" t="str">
        <f>IF(AND(C104&lt;&gt;"",B104='Client Sign-Off'!$D$7),COUNTIFS($B$6:B104,'Client Sign-Off'!$D$7,$C$6:C104,"?*"),"")</f>
        <v/>
      </c>
    </row>
    <row r="105" ht="18" customHeight="1">
      <c r="A105" s="54" t="str">
        <f>IF(C105="","",ROW()-5)</f>
        <v/>
      </c>
      <c r="B105" s="40" t="n"/>
      <c r="C105" s="40" t="n"/>
      <c r="D105" s="40" t="n"/>
      <c r="E105" s="40" t="n"/>
      <c r="F105" s="40" t="n"/>
      <c r="G105" s="55" t="str">
        <f>IF(F105="","",IFERROR(IF(INDEX(Project!$C$24:$C$27,MATCH(F105,Project!$B$24:$B$27,0))="","",INDEX(Project!$C$24:$C$27,MATCH(F105,Project!$B$24:$B$27,0))),""))</f>
        <v/>
      </c>
      <c r="H105" s="40" t="n"/>
      <c r="I105" s="40" t="n"/>
      <c r="J105" s="40" t="n"/>
      <c r="K105" s="40" t="n"/>
      <c r="L105" s="56" t="n"/>
      <c r="M105" s="40" t="n"/>
      <c r="N105" s="57" t="n"/>
      <c r="O105" s="35" t="str">
        <f>IF(OR(L105="",N105=""),"",L105*N105)</f>
        <v/>
      </c>
      <c r="P105" s="43" t="n"/>
      <c r="Q105" s="36" t="str">
        <f>IF(OR(O105="",P105=""),"",O105-P105)</f>
        <v/>
      </c>
      <c r="R105" s="40" t="n"/>
      <c r="S105" s="40" t="n"/>
      <c r="T105" s="58" t="n"/>
      <c r="U105" s="42" t="n"/>
      <c r="V105" s="55" t="str">
        <f>IF(OR(U105="",T105=""),"",U105-T105)</f>
        <v/>
      </c>
      <c r="W105" s="40" t="n"/>
      <c r="X105" s="42" t="n"/>
      <c r="Y105" s="40" t="n"/>
      <c r="Z105" s="32" t="str">
        <f>IF(C105="","",IF(OR(W105="Ordered",W105="Received",W105="Installed"),"Ordered",IF(AND(I105&lt;&gt;"",J105&lt;&gt;"",L105&lt;&gt;"",R105&lt;&gt;"",T105&lt;&gt;"",X105&lt;&gt;""),"READY","Missing: "&amp;_xlfn.TEXTJOIN(", ",TRUE,IF(I105="","model",""),IF(J105="","finish",""),IF(L105="","qty",""),IF(R105="","supplier",""),IF(T105="","lead time",""),IF(X105="","approval","")))))</f>
        <v/>
      </c>
      <c r="AA105" s="54" t="str">
        <f>IF(C105="","",IF(OR(W105="Ordered",W105="Received",W105="Installed"),"",IF(AND(G105&lt;&gt;"",X105="",G105&lt;TODAY()),"DECISION OVERDUE",IF(V105="","",IF(V105&lt;TODAY(),"ORDER OVERDUE",IF(V105-TODAY()&lt;=14,"ORDER SOON",""))))))</f>
        <v/>
      </c>
      <c r="AB105" s="35" t="str">
        <f>IF(Q105="","",IF(AND(X105="",Q105&gt;0),Q105,""))</f>
        <v/>
      </c>
      <c r="AC105" s="59" t="n"/>
      <c r="AD105" s="59" t="n"/>
      <c r="AE105" s="60" t="str">
        <f>IF(AND(C105&lt;&gt;"",B105='Client Sign-Off'!$D$7),COUNTIFS($B$6:B105,'Client Sign-Off'!$D$7,$C$6:C105,"?*"),"")</f>
        <v/>
      </c>
    </row>
    <row r="106" ht="18" customHeight="1">
      <c r="A106" s="54" t="str">
        <f>IF(C106="","",ROW()-5)</f>
        <v/>
      </c>
      <c r="B106" s="40" t="n"/>
      <c r="C106" s="40" t="n"/>
      <c r="D106" s="40" t="n"/>
      <c r="E106" s="40" t="n"/>
      <c r="F106" s="40" t="n"/>
      <c r="G106" s="55" t="str">
        <f>IF(F106="","",IFERROR(IF(INDEX(Project!$C$24:$C$27,MATCH(F106,Project!$B$24:$B$27,0))="","",INDEX(Project!$C$24:$C$27,MATCH(F106,Project!$B$24:$B$27,0))),""))</f>
        <v/>
      </c>
      <c r="H106" s="40" t="n"/>
      <c r="I106" s="40" t="n"/>
      <c r="J106" s="40" t="n"/>
      <c r="K106" s="40" t="n"/>
      <c r="L106" s="56" t="n"/>
      <c r="M106" s="40" t="n"/>
      <c r="N106" s="57" t="n"/>
      <c r="O106" s="35" t="str">
        <f>IF(OR(L106="",N106=""),"",L106*N106)</f>
        <v/>
      </c>
      <c r="P106" s="43" t="n"/>
      <c r="Q106" s="36" t="str">
        <f>IF(OR(O106="",P106=""),"",O106-P106)</f>
        <v/>
      </c>
      <c r="R106" s="40" t="n"/>
      <c r="S106" s="40" t="n"/>
      <c r="T106" s="58" t="n"/>
      <c r="U106" s="42" t="n"/>
      <c r="V106" s="55" t="str">
        <f>IF(OR(U106="",T106=""),"",U106-T106)</f>
        <v/>
      </c>
      <c r="W106" s="40" t="n"/>
      <c r="X106" s="42" t="n"/>
      <c r="Y106" s="40" t="n"/>
      <c r="Z106" s="32" t="str">
        <f>IF(C106="","",IF(OR(W106="Ordered",W106="Received",W106="Installed"),"Ordered",IF(AND(I106&lt;&gt;"",J106&lt;&gt;"",L106&lt;&gt;"",R106&lt;&gt;"",T106&lt;&gt;"",X106&lt;&gt;""),"READY","Missing: "&amp;_xlfn.TEXTJOIN(", ",TRUE,IF(I106="","model",""),IF(J106="","finish",""),IF(L106="","qty",""),IF(R106="","supplier",""),IF(T106="","lead time",""),IF(X106="","approval","")))))</f>
        <v/>
      </c>
      <c r="AA106" s="54" t="str">
        <f>IF(C106="","",IF(OR(W106="Ordered",W106="Received",W106="Installed"),"",IF(AND(G106&lt;&gt;"",X106="",G106&lt;TODAY()),"DECISION OVERDUE",IF(V106="","",IF(V106&lt;TODAY(),"ORDER OVERDUE",IF(V106-TODAY()&lt;=14,"ORDER SOON",""))))))</f>
        <v/>
      </c>
      <c r="AB106" s="35" t="str">
        <f>IF(Q106="","",IF(AND(X106="",Q106&gt;0),Q106,""))</f>
        <v/>
      </c>
      <c r="AC106" s="59" t="n"/>
      <c r="AD106" s="59" t="n"/>
      <c r="AE106" s="60" t="str">
        <f>IF(AND(C106&lt;&gt;"",B106='Client Sign-Off'!$D$7),COUNTIFS($B$6:B106,'Client Sign-Off'!$D$7,$C$6:C106,"?*"),"")</f>
        <v/>
      </c>
    </row>
    <row r="107" ht="18" customHeight="1">
      <c r="A107" s="54" t="str">
        <f>IF(C107="","",ROW()-5)</f>
        <v/>
      </c>
      <c r="B107" s="40" t="n"/>
      <c r="C107" s="40" t="n"/>
      <c r="D107" s="40" t="n"/>
      <c r="E107" s="40" t="n"/>
      <c r="F107" s="40" t="n"/>
      <c r="G107" s="55" t="str">
        <f>IF(F107="","",IFERROR(IF(INDEX(Project!$C$24:$C$27,MATCH(F107,Project!$B$24:$B$27,0))="","",INDEX(Project!$C$24:$C$27,MATCH(F107,Project!$B$24:$B$27,0))),""))</f>
        <v/>
      </c>
      <c r="H107" s="40" t="n"/>
      <c r="I107" s="40" t="n"/>
      <c r="J107" s="40" t="n"/>
      <c r="K107" s="40" t="n"/>
      <c r="L107" s="56" t="n"/>
      <c r="M107" s="40" t="n"/>
      <c r="N107" s="57" t="n"/>
      <c r="O107" s="35" t="str">
        <f>IF(OR(L107="",N107=""),"",L107*N107)</f>
        <v/>
      </c>
      <c r="P107" s="43" t="n"/>
      <c r="Q107" s="36" t="str">
        <f>IF(OR(O107="",P107=""),"",O107-P107)</f>
        <v/>
      </c>
      <c r="R107" s="40" t="n"/>
      <c r="S107" s="40" t="n"/>
      <c r="T107" s="58" t="n"/>
      <c r="U107" s="42" t="n"/>
      <c r="V107" s="55" t="str">
        <f>IF(OR(U107="",T107=""),"",U107-T107)</f>
        <v/>
      </c>
      <c r="W107" s="40" t="n"/>
      <c r="X107" s="42" t="n"/>
      <c r="Y107" s="40" t="n"/>
      <c r="Z107" s="32" t="str">
        <f>IF(C107="","",IF(OR(W107="Ordered",W107="Received",W107="Installed"),"Ordered",IF(AND(I107&lt;&gt;"",J107&lt;&gt;"",L107&lt;&gt;"",R107&lt;&gt;"",T107&lt;&gt;"",X107&lt;&gt;""),"READY","Missing: "&amp;_xlfn.TEXTJOIN(", ",TRUE,IF(I107="","model",""),IF(J107="","finish",""),IF(L107="","qty",""),IF(R107="","supplier",""),IF(T107="","lead time",""),IF(X107="","approval","")))))</f>
        <v/>
      </c>
      <c r="AA107" s="54" t="str">
        <f>IF(C107="","",IF(OR(W107="Ordered",W107="Received",W107="Installed"),"",IF(AND(G107&lt;&gt;"",X107="",G107&lt;TODAY()),"DECISION OVERDUE",IF(V107="","",IF(V107&lt;TODAY(),"ORDER OVERDUE",IF(V107-TODAY()&lt;=14,"ORDER SOON",""))))))</f>
        <v/>
      </c>
      <c r="AB107" s="35" t="str">
        <f>IF(Q107="","",IF(AND(X107="",Q107&gt;0),Q107,""))</f>
        <v/>
      </c>
      <c r="AC107" s="59" t="n"/>
      <c r="AD107" s="59" t="n"/>
      <c r="AE107" s="60" t="str">
        <f>IF(AND(C107&lt;&gt;"",B107='Client Sign-Off'!$D$7),COUNTIFS($B$6:B107,'Client Sign-Off'!$D$7,$C$6:C107,"?*"),"")</f>
        <v/>
      </c>
    </row>
    <row r="108" ht="18" customHeight="1">
      <c r="A108" s="54" t="str">
        <f>IF(C108="","",ROW()-5)</f>
        <v/>
      </c>
      <c r="B108" s="40" t="n"/>
      <c r="C108" s="40" t="n"/>
      <c r="D108" s="40" t="n"/>
      <c r="E108" s="40" t="n"/>
      <c r="F108" s="40" t="n"/>
      <c r="G108" s="55" t="str">
        <f>IF(F108="","",IFERROR(IF(INDEX(Project!$C$24:$C$27,MATCH(F108,Project!$B$24:$B$27,0))="","",INDEX(Project!$C$24:$C$27,MATCH(F108,Project!$B$24:$B$27,0))),""))</f>
        <v/>
      </c>
      <c r="H108" s="40" t="n"/>
      <c r="I108" s="40" t="n"/>
      <c r="J108" s="40" t="n"/>
      <c r="K108" s="40" t="n"/>
      <c r="L108" s="56" t="n"/>
      <c r="M108" s="40" t="n"/>
      <c r="N108" s="57" t="n"/>
      <c r="O108" s="35" t="str">
        <f>IF(OR(L108="",N108=""),"",L108*N108)</f>
        <v/>
      </c>
      <c r="P108" s="43" t="n"/>
      <c r="Q108" s="36" t="str">
        <f>IF(OR(O108="",P108=""),"",O108-P108)</f>
        <v/>
      </c>
      <c r="R108" s="40" t="n"/>
      <c r="S108" s="40" t="n"/>
      <c r="T108" s="58" t="n"/>
      <c r="U108" s="42" t="n"/>
      <c r="V108" s="55" t="str">
        <f>IF(OR(U108="",T108=""),"",U108-T108)</f>
        <v/>
      </c>
      <c r="W108" s="40" t="n"/>
      <c r="X108" s="42" t="n"/>
      <c r="Y108" s="40" t="n"/>
      <c r="Z108" s="32" t="str">
        <f>IF(C108="","",IF(OR(W108="Ordered",W108="Received",W108="Installed"),"Ordered",IF(AND(I108&lt;&gt;"",J108&lt;&gt;"",L108&lt;&gt;"",R108&lt;&gt;"",T108&lt;&gt;"",X108&lt;&gt;""),"READY","Missing: "&amp;_xlfn.TEXTJOIN(", ",TRUE,IF(I108="","model",""),IF(J108="","finish",""),IF(L108="","qty",""),IF(R108="","supplier",""),IF(T108="","lead time",""),IF(X108="","approval","")))))</f>
        <v/>
      </c>
      <c r="AA108" s="54" t="str">
        <f>IF(C108="","",IF(OR(W108="Ordered",W108="Received",W108="Installed"),"",IF(AND(G108&lt;&gt;"",X108="",G108&lt;TODAY()),"DECISION OVERDUE",IF(V108="","",IF(V108&lt;TODAY(),"ORDER OVERDUE",IF(V108-TODAY()&lt;=14,"ORDER SOON",""))))))</f>
        <v/>
      </c>
      <c r="AB108" s="35" t="str">
        <f>IF(Q108="","",IF(AND(X108="",Q108&gt;0),Q108,""))</f>
        <v/>
      </c>
      <c r="AC108" s="59" t="n"/>
      <c r="AD108" s="59" t="n"/>
      <c r="AE108" s="60" t="str">
        <f>IF(AND(C108&lt;&gt;"",B108='Client Sign-Off'!$D$7),COUNTIFS($B$6:B108,'Client Sign-Off'!$D$7,$C$6:C108,"?*"),"")</f>
        <v/>
      </c>
    </row>
    <row r="109" ht="18" customHeight="1">
      <c r="A109" s="54" t="str">
        <f>IF(C109="","",ROW()-5)</f>
        <v/>
      </c>
      <c r="B109" s="40" t="n"/>
      <c r="C109" s="40" t="n"/>
      <c r="D109" s="40" t="n"/>
      <c r="E109" s="40" t="n"/>
      <c r="F109" s="40" t="n"/>
      <c r="G109" s="55" t="str">
        <f>IF(F109="","",IFERROR(IF(INDEX(Project!$C$24:$C$27,MATCH(F109,Project!$B$24:$B$27,0))="","",INDEX(Project!$C$24:$C$27,MATCH(F109,Project!$B$24:$B$27,0))),""))</f>
        <v/>
      </c>
      <c r="H109" s="40" t="n"/>
      <c r="I109" s="40" t="n"/>
      <c r="J109" s="40" t="n"/>
      <c r="K109" s="40" t="n"/>
      <c r="L109" s="56" t="n"/>
      <c r="M109" s="40" t="n"/>
      <c r="N109" s="57" t="n"/>
      <c r="O109" s="35" t="str">
        <f>IF(OR(L109="",N109=""),"",L109*N109)</f>
        <v/>
      </c>
      <c r="P109" s="43" t="n"/>
      <c r="Q109" s="36" t="str">
        <f>IF(OR(O109="",P109=""),"",O109-P109)</f>
        <v/>
      </c>
      <c r="R109" s="40" t="n"/>
      <c r="S109" s="40" t="n"/>
      <c r="T109" s="58" t="n"/>
      <c r="U109" s="42" t="n"/>
      <c r="V109" s="55" t="str">
        <f>IF(OR(U109="",T109=""),"",U109-T109)</f>
        <v/>
      </c>
      <c r="W109" s="40" t="n"/>
      <c r="X109" s="42" t="n"/>
      <c r="Y109" s="40" t="n"/>
      <c r="Z109" s="32" t="str">
        <f>IF(C109="","",IF(OR(W109="Ordered",W109="Received",W109="Installed"),"Ordered",IF(AND(I109&lt;&gt;"",J109&lt;&gt;"",L109&lt;&gt;"",R109&lt;&gt;"",T109&lt;&gt;"",X109&lt;&gt;""),"READY","Missing: "&amp;_xlfn.TEXTJOIN(", ",TRUE,IF(I109="","model",""),IF(J109="","finish",""),IF(L109="","qty",""),IF(R109="","supplier",""),IF(T109="","lead time",""),IF(X109="","approval","")))))</f>
        <v/>
      </c>
      <c r="AA109" s="54" t="str">
        <f>IF(C109="","",IF(OR(W109="Ordered",W109="Received",W109="Installed"),"",IF(AND(G109&lt;&gt;"",X109="",G109&lt;TODAY()),"DECISION OVERDUE",IF(V109="","",IF(V109&lt;TODAY(),"ORDER OVERDUE",IF(V109-TODAY()&lt;=14,"ORDER SOON",""))))))</f>
        <v/>
      </c>
      <c r="AB109" s="35" t="str">
        <f>IF(Q109="","",IF(AND(X109="",Q109&gt;0),Q109,""))</f>
        <v/>
      </c>
      <c r="AC109" s="59" t="n"/>
      <c r="AD109" s="59" t="n"/>
      <c r="AE109" s="60" t="str">
        <f>IF(AND(C109&lt;&gt;"",B109='Client Sign-Off'!$D$7),COUNTIFS($B$6:B109,'Client Sign-Off'!$D$7,$C$6:C109,"?*"),"")</f>
        <v/>
      </c>
    </row>
    <row r="110" ht="18" customHeight="1">
      <c r="A110" s="54" t="str">
        <f>IF(C110="","",ROW()-5)</f>
        <v/>
      </c>
      <c r="B110" s="40" t="n"/>
      <c r="C110" s="40" t="n"/>
      <c r="D110" s="40" t="n"/>
      <c r="E110" s="40" t="n"/>
      <c r="F110" s="40" t="n"/>
      <c r="G110" s="55" t="str">
        <f>IF(F110="","",IFERROR(IF(INDEX(Project!$C$24:$C$27,MATCH(F110,Project!$B$24:$B$27,0))="","",INDEX(Project!$C$24:$C$27,MATCH(F110,Project!$B$24:$B$27,0))),""))</f>
        <v/>
      </c>
      <c r="H110" s="40" t="n"/>
      <c r="I110" s="40" t="n"/>
      <c r="J110" s="40" t="n"/>
      <c r="K110" s="40" t="n"/>
      <c r="L110" s="56" t="n"/>
      <c r="M110" s="40" t="n"/>
      <c r="N110" s="57" t="n"/>
      <c r="O110" s="35" t="str">
        <f>IF(OR(L110="",N110=""),"",L110*N110)</f>
        <v/>
      </c>
      <c r="P110" s="43" t="n"/>
      <c r="Q110" s="36" t="str">
        <f>IF(OR(O110="",P110=""),"",O110-P110)</f>
        <v/>
      </c>
      <c r="R110" s="40" t="n"/>
      <c r="S110" s="40" t="n"/>
      <c r="T110" s="58" t="n"/>
      <c r="U110" s="42" t="n"/>
      <c r="V110" s="55" t="str">
        <f>IF(OR(U110="",T110=""),"",U110-T110)</f>
        <v/>
      </c>
      <c r="W110" s="40" t="n"/>
      <c r="X110" s="42" t="n"/>
      <c r="Y110" s="40" t="n"/>
      <c r="Z110" s="32" t="str">
        <f>IF(C110="","",IF(OR(W110="Ordered",W110="Received",W110="Installed"),"Ordered",IF(AND(I110&lt;&gt;"",J110&lt;&gt;"",L110&lt;&gt;"",R110&lt;&gt;"",T110&lt;&gt;"",X110&lt;&gt;""),"READY","Missing: "&amp;_xlfn.TEXTJOIN(", ",TRUE,IF(I110="","model",""),IF(J110="","finish",""),IF(L110="","qty",""),IF(R110="","supplier",""),IF(T110="","lead time",""),IF(X110="","approval","")))))</f>
        <v/>
      </c>
      <c r="AA110" s="54" t="str">
        <f>IF(C110="","",IF(OR(W110="Ordered",W110="Received",W110="Installed"),"",IF(AND(G110&lt;&gt;"",X110="",G110&lt;TODAY()),"DECISION OVERDUE",IF(V110="","",IF(V110&lt;TODAY(),"ORDER OVERDUE",IF(V110-TODAY()&lt;=14,"ORDER SOON",""))))))</f>
        <v/>
      </c>
      <c r="AB110" s="35" t="str">
        <f>IF(Q110="","",IF(AND(X110="",Q110&gt;0),Q110,""))</f>
        <v/>
      </c>
      <c r="AC110" s="59" t="n"/>
      <c r="AD110" s="59" t="n"/>
      <c r="AE110" s="60" t="str">
        <f>IF(AND(C110&lt;&gt;"",B110='Client Sign-Off'!$D$7),COUNTIFS($B$6:B110,'Client Sign-Off'!$D$7,$C$6:C110,"?*"),"")</f>
        <v/>
      </c>
    </row>
    <row r="111" ht="18" customHeight="1">
      <c r="A111" s="54" t="str">
        <f>IF(C111="","",ROW()-5)</f>
        <v/>
      </c>
      <c r="B111" s="40" t="n"/>
      <c r="C111" s="40" t="n"/>
      <c r="D111" s="40" t="n"/>
      <c r="E111" s="40" t="n"/>
      <c r="F111" s="40" t="n"/>
      <c r="G111" s="55" t="str">
        <f>IF(F111="","",IFERROR(IF(INDEX(Project!$C$24:$C$27,MATCH(F111,Project!$B$24:$B$27,0))="","",INDEX(Project!$C$24:$C$27,MATCH(F111,Project!$B$24:$B$27,0))),""))</f>
        <v/>
      </c>
      <c r="H111" s="40" t="n"/>
      <c r="I111" s="40" t="n"/>
      <c r="J111" s="40" t="n"/>
      <c r="K111" s="40" t="n"/>
      <c r="L111" s="56" t="n"/>
      <c r="M111" s="40" t="n"/>
      <c r="N111" s="57" t="n"/>
      <c r="O111" s="35" t="str">
        <f>IF(OR(L111="",N111=""),"",L111*N111)</f>
        <v/>
      </c>
      <c r="P111" s="43" t="n"/>
      <c r="Q111" s="36" t="str">
        <f>IF(OR(O111="",P111=""),"",O111-P111)</f>
        <v/>
      </c>
      <c r="R111" s="40" t="n"/>
      <c r="S111" s="40" t="n"/>
      <c r="T111" s="58" t="n"/>
      <c r="U111" s="42" t="n"/>
      <c r="V111" s="55" t="str">
        <f>IF(OR(U111="",T111=""),"",U111-T111)</f>
        <v/>
      </c>
      <c r="W111" s="40" t="n"/>
      <c r="X111" s="42" t="n"/>
      <c r="Y111" s="40" t="n"/>
      <c r="Z111" s="32" t="str">
        <f>IF(C111="","",IF(OR(W111="Ordered",W111="Received",W111="Installed"),"Ordered",IF(AND(I111&lt;&gt;"",J111&lt;&gt;"",L111&lt;&gt;"",R111&lt;&gt;"",T111&lt;&gt;"",X111&lt;&gt;""),"READY","Missing: "&amp;_xlfn.TEXTJOIN(", ",TRUE,IF(I111="","model",""),IF(J111="","finish",""),IF(L111="","qty",""),IF(R111="","supplier",""),IF(T111="","lead time",""),IF(X111="","approval","")))))</f>
        <v/>
      </c>
      <c r="AA111" s="54" t="str">
        <f>IF(C111="","",IF(OR(W111="Ordered",W111="Received",W111="Installed"),"",IF(AND(G111&lt;&gt;"",X111="",G111&lt;TODAY()),"DECISION OVERDUE",IF(V111="","",IF(V111&lt;TODAY(),"ORDER OVERDUE",IF(V111-TODAY()&lt;=14,"ORDER SOON",""))))))</f>
        <v/>
      </c>
      <c r="AB111" s="35" t="str">
        <f>IF(Q111="","",IF(AND(X111="",Q111&gt;0),Q111,""))</f>
        <v/>
      </c>
      <c r="AC111" s="59" t="n"/>
      <c r="AD111" s="59" t="n"/>
      <c r="AE111" s="60" t="str">
        <f>IF(AND(C111&lt;&gt;"",B111='Client Sign-Off'!$D$7),COUNTIFS($B$6:B111,'Client Sign-Off'!$D$7,$C$6:C111,"?*"),"")</f>
        <v/>
      </c>
    </row>
    <row r="112" ht="18" customHeight="1">
      <c r="A112" s="54" t="str">
        <f>IF(C112="","",ROW()-5)</f>
        <v/>
      </c>
      <c r="B112" s="40" t="n"/>
      <c r="C112" s="40" t="n"/>
      <c r="D112" s="40" t="n"/>
      <c r="E112" s="40" t="n"/>
      <c r="F112" s="40" t="n"/>
      <c r="G112" s="55" t="str">
        <f>IF(F112="","",IFERROR(IF(INDEX(Project!$C$24:$C$27,MATCH(F112,Project!$B$24:$B$27,0))="","",INDEX(Project!$C$24:$C$27,MATCH(F112,Project!$B$24:$B$27,0))),""))</f>
        <v/>
      </c>
      <c r="H112" s="40" t="n"/>
      <c r="I112" s="40" t="n"/>
      <c r="J112" s="40" t="n"/>
      <c r="K112" s="40" t="n"/>
      <c r="L112" s="56" t="n"/>
      <c r="M112" s="40" t="n"/>
      <c r="N112" s="57" t="n"/>
      <c r="O112" s="35" t="str">
        <f>IF(OR(L112="",N112=""),"",L112*N112)</f>
        <v/>
      </c>
      <c r="P112" s="43" t="n"/>
      <c r="Q112" s="36" t="str">
        <f>IF(OR(O112="",P112=""),"",O112-P112)</f>
        <v/>
      </c>
      <c r="R112" s="40" t="n"/>
      <c r="S112" s="40" t="n"/>
      <c r="T112" s="58" t="n"/>
      <c r="U112" s="42" t="n"/>
      <c r="V112" s="55" t="str">
        <f>IF(OR(U112="",T112=""),"",U112-T112)</f>
        <v/>
      </c>
      <c r="W112" s="40" t="n"/>
      <c r="X112" s="42" t="n"/>
      <c r="Y112" s="40" t="n"/>
      <c r="Z112" s="32" t="str">
        <f>IF(C112="","",IF(OR(W112="Ordered",W112="Received",W112="Installed"),"Ordered",IF(AND(I112&lt;&gt;"",J112&lt;&gt;"",L112&lt;&gt;"",R112&lt;&gt;"",T112&lt;&gt;"",X112&lt;&gt;""),"READY","Missing: "&amp;_xlfn.TEXTJOIN(", ",TRUE,IF(I112="","model",""),IF(J112="","finish",""),IF(L112="","qty",""),IF(R112="","supplier",""),IF(T112="","lead time",""),IF(X112="","approval","")))))</f>
        <v/>
      </c>
      <c r="AA112" s="54" t="str">
        <f>IF(C112="","",IF(OR(W112="Ordered",W112="Received",W112="Installed"),"",IF(AND(G112&lt;&gt;"",X112="",G112&lt;TODAY()),"DECISION OVERDUE",IF(V112="","",IF(V112&lt;TODAY(),"ORDER OVERDUE",IF(V112-TODAY()&lt;=14,"ORDER SOON",""))))))</f>
        <v/>
      </c>
      <c r="AB112" s="35" t="str">
        <f>IF(Q112="","",IF(AND(X112="",Q112&gt;0),Q112,""))</f>
        <v/>
      </c>
      <c r="AC112" s="59" t="n"/>
      <c r="AD112" s="59" t="n"/>
      <c r="AE112" s="60" t="str">
        <f>IF(AND(C112&lt;&gt;"",B112='Client Sign-Off'!$D$7),COUNTIFS($B$6:B112,'Client Sign-Off'!$D$7,$C$6:C112,"?*"),"")</f>
        <v/>
      </c>
    </row>
    <row r="113" ht="18" customHeight="1">
      <c r="A113" s="54" t="str">
        <f>IF(C113="","",ROW()-5)</f>
        <v/>
      </c>
      <c r="B113" s="40" t="n"/>
      <c r="C113" s="40" t="n"/>
      <c r="D113" s="40" t="n"/>
      <c r="E113" s="40" t="n"/>
      <c r="F113" s="40" t="n"/>
      <c r="G113" s="55" t="str">
        <f>IF(F113="","",IFERROR(IF(INDEX(Project!$C$24:$C$27,MATCH(F113,Project!$B$24:$B$27,0))="","",INDEX(Project!$C$24:$C$27,MATCH(F113,Project!$B$24:$B$27,0))),""))</f>
        <v/>
      </c>
      <c r="H113" s="40" t="n"/>
      <c r="I113" s="40" t="n"/>
      <c r="J113" s="40" t="n"/>
      <c r="K113" s="40" t="n"/>
      <c r="L113" s="56" t="n"/>
      <c r="M113" s="40" t="n"/>
      <c r="N113" s="57" t="n"/>
      <c r="O113" s="35" t="str">
        <f>IF(OR(L113="",N113=""),"",L113*N113)</f>
        <v/>
      </c>
      <c r="P113" s="43" t="n"/>
      <c r="Q113" s="36" t="str">
        <f>IF(OR(O113="",P113=""),"",O113-P113)</f>
        <v/>
      </c>
      <c r="R113" s="40" t="n"/>
      <c r="S113" s="40" t="n"/>
      <c r="T113" s="58" t="n"/>
      <c r="U113" s="42" t="n"/>
      <c r="V113" s="55" t="str">
        <f>IF(OR(U113="",T113=""),"",U113-T113)</f>
        <v/>
      </c>
      <c r="W113" s="40" t="n"/>
      <c r="X113" s="42" t="n"/>
      <c r="Y113" s="40" t="n"/>
      <c r="Z113" s="32" t="str">
        <f>IF(C113="","",IF(OR(W113="Ordered",W113="Received",W113="Installed"),"Ordered",IF(AND(I113&lt;&gt;"",J113&lt;&gt;"",L113&lt;&gt;"",R113&lt;&gt;"",T113&lt;&gt;"",X113&lt;&gt;""),"READY","Missing: "&amp;_xlfn.TEXTJOIN(", ",TRUE,IF(I113="","model",""),IF(J113="","finish",""),IF(L113="","qty",""),IF(R113="","supplier",""),IF(T113="","lead time",""),IF(X113="","approval","")))))</f>
        <v/>
      </c>
      <c r="AA113" s="54" t="str">
        <f>IF(C113="","",IF(OR(W113="Ordered",W113="Received",W113="Installed"),"",IF(AND(G113&lt;&gt;"",X113="",G113&lt;TODAY()),"DECISION OVERDUE",IF(V113="","",IF(V113&lt;TODAY(),"ORDER OVERDUE",IF(V113-TODAY()&lt;=14,"ORDER SOON",""))))))</f>
        <v/>
      </c>
      <c r="AB113" s="35" t="str">
        <f>IF(Q113="","",IF(AND(X113="",Q113&gt;0),Q113,""))</f>
        <v/>
      </c>
      <c r="AC113" s="59" t="n"/>
      <c r="AD113" s="59" t="n"/>
      <c r="AE113" s="60" t="str">
        <f>IF(AND(C113&lt;&gt;"",B113='Client Sign-Off'!$D$7),COUNTIFS($B$6:B113,'Client Sign-Off'!$D$7,$C$6:C113,"?*"),"")</f>
        <v/>
      </c>
    </row>
    <row r="114" ht="18" customHeight="1">
      <c r="A114" s="54" t="str">
        <f>IF(C114="","",ROW()-5)</f>
        <v/>
      </c>
      <c r="B114" s="40" t="n"/>
      <c r="C114" s="40" t="n"/>
      <c r="D114" s="40" t="n"/>
      <c r="E114" s="40" t="n"/>
      <c r="F114" s="40" t="n"/>
      <c r="G114" s="55" t="str">
        <f>IF(F114="","",IFERROR(IF(INDEX(Project!$C$24:$C$27,MATCH(F114,Project!$B$24:$B$27,0))="","",INDEX(Project!$C$24:$C$27,MATCH(F114,Project!$B$24:$B$27,0))),""))</f>
        <v/>
      </c>
      <c r="H114" s="40" t="n"/>
      <c r="I114" s="40" t="n"/>
      <c r="J114" s="40" t="n"/>
      <c r="K114" s="40" t="n"/>
      <c r="L114" s="56" t="n"/>
      <c r="M114" s="40" t="n"/>
      <c r="N114" s="57" t="n"/>
      <c r="O114" s="35" t="str">
        <f>IF(OR(L114="",N114=""),"",L114*N114)</f>
        <v/>
      </c>
      <c r="P114" s="43" t="n"/>
      <c r="Q114" s="36" t="str">
        <f>IF(OR(O114="",P114=""),"",O114-P114)</f>
        <v/>
      </c>
      <c r="R114" s="40" t="n"/>
      <c r="S114" s="40" t="n"/>
      <c r="T114" s="58" t="n"/>
      <c r="U114" s="42" t="n"/>
      <c r="V114" s="55" t="str">
        <f>IF(OR(U114="",T114=""),"",U114-T114)</f>
        <v/>
      </c>
      <c r="W114" s="40" t="n"/>
      <c r="X114" s="42" t="n"/>
      <c r="Y114" s="40" t="n"/>
      <c r="Z114" s="32" t="str">
        <f>IF(C114="","",IF(OR(W114="Ordered",W114="Received",W114="Installed"),"Ordered",IF(AND(I114&lt;&gt;"",J114&lt;&gt;"",L114&lt;&gt;"",R114&lt;&gt;"",T114&lt;&gt;"",X114&lt;&gt;""),"READY","Missing: "&amp;_xlfn.TEXTJOIN(", ",TRUE,IF(I114="","model",""),IF(J114="","finish",""),IF(L114="","qty",""),IF(R114="","supplier",""),IF(T114="","lead time",""),IF(X114="","approval","")))))</f>
        <v/>
      </c>
      <c r="AA114" s="54" t="str">
        <f>IF(C114="","",IF(OR(W114="Ordered",W114="Received",W114="Installed"),"",IF(AND(G114&lt;&gt;"",X114="",G114&lt;TODAY()),"DECISION OVERDUE",IF(V114="","",IF(V114&lt;TODAY(),"ORDER OVERDUE",IF(V114-TODAY()&lt;=14,"ORDER SOON",""))))))</f>
        <v/>
      </c>
      <c r="AB114" s="35" t="str">
        <f>IF(Q114="","",IF(AND(X114="",Q114&gt;0),Q114,""))</f>
        <v/>
      </c>
      <c r="AC114" s="59" t="n"/>
      <c r="AD114" s="59" t="n"/>
      <c r="AE114" s="60" t="str">
        <f>IF(AND(C114&lt;&gt;"",B114='Client Sign-Off'!$D$7),COUNTIFS($B$6:B114,'Client Sign-Off'!$D$7,$C$6:C114,"?*"),"")</f>
        <v/>
      </c>
    </row>
    <row r="115" ht="18" customHeight="1">
      <c r="A115" s="54" t="str">
        <f>IF(C115="","",ROW()-5)</f>
        <v/>
      </c>
      <c r="B115" s="40" t="n"/>
      <c r="C115" s="40" t="n"/>
      <c r="D115" s="40" t="n"/>
      <c r="E115" s="40" t="n"/>
      <c r="F115" s="40" t="n"/>
      <c r="G115" s="55" t="str">
        <f>IF(F115="","",IFERROR(IF(INDEX(Project!$C$24:$C$27,MATCH(F115,Project!$B$24:$B$27,0))="","",INDEX(Project!$C$24:$C$27,MATCH(F115,Project!$B$24:$B$27,0))),""))</f>
        <v/>
      </c>
      <c r="H115" s="40" t="n"/>
      <c r="I115" s="40" t="n"/>
      <c r="J115" s="40" t="n"/>
      <c r="K115" s="40" t="n"/>
      <c r="L115" s="56" t="n"/>
      <c r="M115" s="40" t="n"/>
      <c r="N115" s="57" t="n"/>
      <c r="O115" s="35" t="str">
        <f>IF(OR(L115="",N115=""),"",L115*N115)</f>
        <v/>
      </c>
      <c r="P115" s="43" t="n"/>
      <c r="Q115" s="36" t="str">
        <f>IF(OR(O115="",P115=""),"",O115-P115)</f>
        <v/>
      </c>
      <c r="R115" s="40" t="n"/>
      <c r="S115" s="40" t="n"/>
      <c r="T115" s="58" t="n"/>
      <c r="U115" s="42" t="n"/>
      <c r="V115" s="55" t="str">
        <f>IF(OR(U115="",T115=""),"",U115-T115)</f>
        <v/>
      </c>
      <c r="W115" s="40" t="n"/>
      <c r="X115" s="42" t="n"/>
      <c r="Y115" s="40" t="n"/>
      <c r="Z115" s="32" t="str">
        <f>IF(C115="","",IF(OR(W115="Ordered",W115="Received",W115="Installed"),"Ordered",IF(AND(I115&lt;&gt;"",J115&lt;&gt;"",L115&lt;&gt;"",R115&lt;&gt;"",T115&lt;&gt;"",X115&lt;&gt;""),"READY","Missing: "&amp;_xlfn.TEXTJOIN(", ",TRUE,IF(I115="","model",""),IF(J115="","finish",""),IF(L115="","qty",""),IF(R115="","supplier",""),IF(T115="","lead time",""),IF(X115="","approval","")))))</f>
        <v/>
      </c>
      <c r="AA115" s="54" t="str">
        <f>IF(C115="","",IF(OR(W115="Ordered",W115="Received",W115="Installed"),"",IF(AND(G115&lt;&gt;"",X115="",G115&lt;TODAY()),"DECISION OVERDUE",IF(V115="","",IF(V115&lt;TODAY(),"ORDER OVERDUE",IF(V115-TODAY()&lt;=14,"ORDER SOON",""))))))</f>
        <v/>
      </c>
      <c r="AB115" s="35" t="str">
        <f>IF(Q115="","",IF(AND(X115="",Q115&gt;0),Q115,""))</f>
        <v/>
      </c>
      <c r="AC115" s="59" t="n"/>
      <c r="AD115" s="59" t="n"/>
      <c r="AE115" s="60" t="str">
        <f>IF(AND(C115&lt;&gt;"",B115='Client Sign-Off'!$D$7),COUNTIFS($B$6:B115,'Client Sign-Off'!$D$7,$C$6:C115,"?*"),"")</f>
        <v/>
      </c>
    </row>
    <row r="116" ht="18" customHeight="1">
      <c r="A116" s="54" t="str">
        <f>IF(C116="","",ROW()-5)</f>
        <v/>
      </c>
      <c r="B116" s="40" t="n"/>
      <c r="C116" s="40" t="n"/>
      <c r="D116" s="40" t="n"/>
      <c r="E116" s="40" t="n"/>
      <c r="F116" s="40" t="n"/>
      <c r="G116" s="55" t="str">
        <f>IF(F116="","",IFERROR(IF(INDEX(Project!$C$24:$C$27,MATCH(F116,Project!$B$24:$B$27,0))="","",INDEX(Project!$C$24:$C$27,MATCH(F116,Project!$B$24:$B$27,0))),""))</f>
        <v/>
      </c>
      <c r="H116" s="40" t="n"/>
      <c r="I116" s="40" t="n"/>
      <c r="J116" s="40" t="n"/>
      <c r="K116" s="40" t="n"/>
      <c r="L116" s="56" t="n"/>
      <c r="M116" s="40" t="n"/>
      <c r="N116" s="57" t="n"/>
      <c r="O116" s="35" t="str">
        <f>IF(OR(L116="",N116=""),"",L116*N116)</f>
        <v/>
      </c>
      <c r="P116" s="43" t="n"/>
      <c r="Q116" s="36" t="str">
        <f>IF(OR(O116="",P116=""),"",O116-P116)</f>
        <v/>
      </c>
      <c r="R116" s="40" t="n"/>
      <c r="S116" s="40" t="n"/>
      <c r="T116" s="58" t="n"/>
      <c r="U116" s="42" t="n"/>
      <c r="V116" s="55" t="str">
        <f>IF(OR(U116="",T116=""),"",U116-T116)</f>
        <v/>
      </c>
      <c r="W116" s="40" t="n"/>
      <c r="X116" s="42" t="n"/>
      <c r="Y116" s="40" t="n"/>
      <c r="Z116" s="32" t="str">
        <f>IF(C116="","",IF(OR(W116="Ordered",W116="Received",W116="Installed"),"Ordered",IF(AND(I116&lt;&gt;"",J116&lt;&gt;"",L116&lt;&gt;"",R116&lt;&gt;"",T116&lt;&gt;"",X116&lt;&gt;""),"READY","Missing: "&amp;_xlfn.TEXTJOIN(", ",TRUE,IF(I116="","model",""),IF(J116="","finish",""),IF(L116="","qty",""),IF(R116="","supplier",""),IF(T116="","lead time",""),IF(X116="","approval","")))))</f>
        <v/>
      </c>
      <c r="AA116" s="54" t="str">
        <f>IF(C116="","",IF(OR(W116="Ordered",W116="Received",W116="Installed"),"",IF(AND(G116&lt;&gt;"",X116="",G116&lt;TODAY()),"DECISION OVERDUE",IF(V116="","",IF(V116&lt;TODAY(),"ORDER OVERDUE",IF(V116-TODAY()&lt;=14,"ORDER SOON",""))))))</f>
        <v/>
      </c>
      <c r="AB116" s="35" t="str">
        <f>IF(Q116="","",IF(AND(X116="",Q116&gt;0),Q116,""))</f>
        <v/>
      </c>
      <c r="AC116" s="59" t="n"/>
      <c r="AD116" s="59" t="n"/>
      <c r="AE116" s="60" t="str">
        <f>IF(AND(C116&lt;&gt;"",B116='Client Sign-Off'!$D$7),COUNTIFS($B$6:B116,'Client Sign-Off'!$D$7,$C$6:C116,"?*"),"")</f>
        <v/>
      </c>
    </row>
    <row r="117" ht="18" customHeight="1">
      <c r="A117" s="54" t="str">
        <f>IF(C117="","",ROW()-5)</f>
        <v/>
      </c>
      <c r="B117" s="40" t="n"/>
      <c r="C117" s="40" t="n"/>
      <c r="D117" s="40" t="n"/>
      <c r="E117" s="40" t="n"/>
      <c r="F117" s="40" t="n"/>
      <c r="G117" s="55" t="str">
        <f>IF(F117="","",IFERROR(IF(INDEX(Project!$C$24:$C$27,MATCH(F117,Project!$B$24:$B$27,0))="","",INDEX(Project!$C$24:$C$27,MATCH(F117,Project!$B$24:$B$27,0))),""))</f>
        <v/>
      </c>
      <c r="H117" s="40" t="n"/>
      <c r="I117" s="40" t="n"/>
      <c r="J117" s="40" t="n"/>
      <c r="K117" s="40" t="n"/>
      <c r="L117" s="56" t="n"/>
      <c r="M117" s="40" t="n"/>
      <c r="N117" s="57" t="n"/>
      <c r="O117" s="35" t="str">
        <f>IF(OR(L117="",N117=""),"",L117*N117)</f>
        <v/>
      </c>
      <c r="P117" s="43" t="n"/>
      <c r="Q117" s="36" t="str">
        <f>IF(OR(O117="",P117=""),"",O117-P117)</f>
        <v/>
      </c>
      <c r="R117" s="40" t="n"/>
      <c r="S117" s="40" t="n"/>
      <c r="T117" s="58" t="n"/>
      <c r="U117" s="42" t="n"/>
      <c r="V117" s="55" t="str">
        <f>IF(OR(U117="",T117=""),"",U117-T117)</f>
        <v/>
      </c>
      <c r="W117" s="40" t="n"/>
      <c r="X117" s="42" t="n"/>
      <c r="Y117" s="40" t="n"/>
      <c r="Z117" s="32" t="str">
        <f>IF(C117="","",IF(OR(W117="Ordered",W117="Received",W117="Installed"),"Ordered",IF(AND(I117&lt;&gt;"",J117&lt;&gt;"",L117&lt;&gt;"",R117&lt;&gt;"",T117&lt;&gt;"",X117&lt;&gt;""),"READY","Missing: "&amp;_xlfn.TEXTJOIN(", ",TRUE,IF(I117="","model",""),IF(J117="","finish",""),IF(L117="","qty",""),IF(R117="","supplier",""),IF(T117="","lead time",""),IF(X117="","approval","")))))</f>
        <v/>
      </c>
      <c r="AA117" s="54" t="str">
        <f>IF(C117="","",IF(OR(W117="Ordered",W117="Received",W117="Installed"),"",IF(AND(G117&lt;&gt;"",X117="",G117&lt;TODAY()),"DECISION OVERDUE",IF(V117="","",IF(V117&lt;TODAY(),"ORDER OVERDUE",IF(V117-TODAY()&lt;=14,"ORDER SOON",""))))))</f>
        <v/>
      </c>
      <c r="AB117" s="35" t="str">
        <f>IF(Q117="","",IF(AND(X117="",Q117&gt;0),Q117,""))</f>
        <v/>
      </c>
      <c r="AC117" s="59" t="n"/>
      <c r="AD117" s="59" t="n"/>
      <c r="AE117" s="60" t="str">
        <f>IF(AND(C117&lt;&gt;"",B117='Client Sign-Off'!$D$7),COUNTIFS($B$6:B117,'Client Sign-Off'!$D$7,$C$6:C117,"?*"),"")</f>
        <v/>
      </c>
    </row>
    <row r="118" ht="18" customHeight="1">
      <c r="A118" s="54" t="str">
        <f>IF(C118="","",ROW()-5)</f>
        <v/>
      </c>
      <c r="B118" s="40" t="n"/>
      <c r="C118" s="40" t="n"/>
      <c r="D118" s="40" t="n"/>
      <c r="E118" s="40" t="n"/>
      <c r="F118" s="40" t="n"/>
      <c r="G118" s="55" t="str">
        <f>IF(F118="","",IFERROR(IF(INDEX(Project!$C$24:$C$27,MATCH(F118,Project!$B$24:$B$27,0))="","",INDEX(Project!$C$24:$C$27,MATCH(F118,Project!$B$24:$B$27,0))),""))</f>
        <v/>
      </c>
      <c r="H118" s="40" t="n"/>
      <c r="I118" s="40" t="n"/>
      <c r="J118" s="40" t="n"/>
      <c r="K118" s="40" t="n"/>
      <c r="L118" s="56" t="n"/>
      <c r="M118" s="40" t="n"/>
      <c r="N118" s="57" t="n"/>
      <c r="O118" s="35" t="str">
        <f>IF(OR(L118="",N118=""),"",L118*N118)</f>
        <v/>
      </c>
      <c r="P118" s="43" t="n"/>
      <c r="Q118" s="36" t="str">
        <f>IF(OR(O118="",P118=""),"",O118-P118)</f>
        <v/>
      </c>
      <c r="R118" s="40" t="n"/>
      <c r="S118" s="40" t="n"/>
      <c r="T118" s="58" t="n"/>
      <c r="U118" s="42" t="n"/>
      <c r="V118" s="55" t="str">
        <f>IF(OR(U118="",T118=""),"",U118-T118)</f>
        <v/>
      </c>
      <c r="W118" s="40" t="n"/>
      <c r="X118" s="42" t="n"/>
      <c r="Y118" s="40" t="n"/>
      <c r="Z118" s="32" t="str">
        <f>IF(C118="","",IF(OR(W118="Ordered",W118="Received",W118="Installed"),"Ordered",IF(AND(I118&lt;&gt;"",J118&lt;&gt;"",L118&lt;&gt;"",R118&lt;&gt;"",T118&lt;&gt;"",X118&lt;&gt;""),"READY","Missing: "&amp;_xlfn.TEXTJOIN(", ",TRUE,IF(I118="","model",""),IF(J118="","finish",""),IF(L118="","qty",""),IF(R118="","supplier",""),IF(T118="","lead time",""),IF(X118="","approval","")))))</f>
        <v/>
      </c>
      <c r="AA118" s="54" t="str">
        <f>IF(C118="","",IF(OR(W118="Ordered",W118="Received",W118="Installed"),"",IF(AND(G118&lt;&gt;"",X118="",G118&lt;TODAY()),"DECISION OVERDUE",IF(V118="","",IF(V118&lt;TODAY(),"ORDER OVERDUE",IF(V118-TODAY()&lt;=14,"ORDER SOON",""))))))</f>
        <v/>
      </c>
      <c r="AB118" s="35" t="str">
        <f>IF(Q118="","",IF(AND(X118="",Q118&gt;0),Q118,""))</f>
        <v/>
      </c>
      <c r="AC118" s="59" t="n"/>
      <c r="AD118" s="59" t="n"/>
      <c r="AE118" s="60" t="str">
        <f>IF(AND(C118&lt;&gt;"",B118='Client Sign-Off'!$D$7),COUNTIFS($B$6:B118,'Client Sign-Off'!$D$7,$C$6:C118,"?*"),"")</f>
        <v/>
      </c>
    </row>
    <row r="119" ht="18" customHeight="1">
      <c r="A119" s="54" t="str">
        <f>IF(C119="","",ROW()-5)</f>
        <v/>
      </c>
      <c r="B119" s="40" t="n"/>
      <c r="C119" s="40" t="n"/>
      <c r="D119" s="40" t="n"/>
      <c r="E119" s="40" t="n"/>
      <c r="F119" s="40" t="n"/>
      <c r="G119" s="55" t="str">
        <f>IF(F119="","",IFERROR(IF(INDEX(Project!$C$24:$C$27,MATCH(F119,Project!$B$24:$B$27,0))="","",INDEX(Project!$C$24:$C$27,MATCH(F119,Project!$B$24:$B$27,0))),""))</f>
        <v/>
      </c>
      <c r="H119" s="40" t="n"/>
      <c r="I119" s="40" t="n"/>
      <c r="J119" s="40" t="n"/>
      <c r="K119" s="40" t="n"/>
      <c r="L119" s="56" t="n"/>
      <c r="M119" s="40" t="n"/>
      <c r="N119" s="57" t="n"/>
      <c r="O119" s="35" t="str">
        <f>IF(OR(L119="",N119=""),"",L119*N119)</f>
        <v/>
      </c>
      <c r="P119" s="43" t="n"/>
      <c r="Q119" s="36" t="str">
        <f>IF(OR(O119="",P119=""),"",O119-P119)</f>
        <v/>
      </c>
      <c r="R119" s="40" t="n"/>
      <c r="S119" s="40" t="n"/>
      <c r="T119" s="58" t="n"/>
      <c r="U119" s="42" t="n"/>
      <c r="V119" s="55" t="str">
        <f>IF(OR(U119="",T119=""),"",U119-T119)</f>
        <v/>
      </c>
      <c r="W119" s="40" t="n"/>
      <c r="X119" s="42" t="n"/>
      <c r="Y119" s="40" t="n"/>
      <c r="Z119" s="32" t="str">
        <f>IF(C119="","",IF(OR(W119="Ordered",W119="Received",W119="Installed"),"Ordered",IF(AND(I119&lt;&gt;"",J119&lt;&gt;"",L119&lt;&gt;"",R119&lt;&gt;"",T119&lt;&gt;"",X119&lt;&gt;""),"READY","Missing: "&amp;_xlfn.TEXTJOIN(", ",TRUE,IF(I119="","model",""),IF(J119="","finish",""),IF(L119="","qty",""),IF(R119="","supplier",""),IF(T119="","lead time",""),IF(X119="","approval","")))))</f>
        <v/>
      </c>
      <c r="AA119" s="54" t="str">
        <f>IF(C119="","",IF(OR(W119="Ordered",W119="Received",W119="Installed"),"",IF(AND(G119&lt;&gt;"",X119="",G119&lt;TODAY()),"DECISION OVERDUE",IF(V119="","",IF(V119&lt;TODAY(),"ORDER OVERDUE",IF(V119-TODAY()&lt;=14,"ORDER SOON",""))))))</f>
        <v/>
      </c>
      <c r="AB119" s="35" t="str">
        <f>IF(Q119="","",IF(AND(X119="",Q119&gt;0),Q119,""))</f>
        <v/>
      </c>
      <c r="AC119" s="59" t="n"/>
      <c r="AD119" s="59" t="n"/>
      <c r="AE119" s="60" t="str">
        <f>IF(AND(C119&lt;&gt;"",B119='Client Sign-Off'!$D$7),COUNTIFS($B$6:B119,'Client Sign-Off'!$D$7,$C$6:C119,"?*"),"")</f>
        <v/>
      </c>
    </row>
    <row r="120" ht="18" customHeight="1">
      <c r="A120" s="54" t="str">
        <f>IF(C120="","",ROW()-5)</f>
        <v/>
      </c>
      <c r="B120" s="40" t="n"/>
      <c r="C120" s="40" t="n"/>
      <c r="D120" s="40" t="n"/>
      <c r="E120" s="40" t="n"/>
      <c r="F120" s="40" t="n"/>
      <c r="G120" s="55" t="str">
        <f>IF(F120="","",IFERROR(IF(INDEX(Project!$C$24:$C$27,MATCH(F120,Project!$B$24:$B$27,0))="","",INDEX(Project!$C$24:$C$27,MATCH(F120,Project!$B$24:$B$27,0))),""))</f>
        <v/>
      </c>
      <c r="H120" s="40" t="n"/>
      <c r="I120" s="40" t="n"/>
      <c r="J120" s="40" t="n"/>
      <c r="K120" s="40" t="n"/>
      <c r="L120" s="56" t="n"/>
      <c r="M120" s="40" t="n"/>
      <c r="N120" s="57" t="n"/>
      <c r="O120" s="35" t="str">
        <f>IF(OR(L120="",N120=""),"",L120*N120)</f>
        <v/>
      </c>
      <c r="P120" s="43" t="n"/>
      <c r="Q120" s="36" t="str">
        <f>IF(OR(O120="",P120=""),"",O120-P120)</f>
        <v/>
      </c>
      <c r="R120" s="40" t="n"/>
      <c r="S120" s="40" t="n"/>
      <c r="T120" s="58" t="n"/>
      <c r="U120" s="42" t="n"/>
      <c r="V120" s="55" t="str">
        <f>IF(OR(U120="",T120=""),"",U120-T120)</f>
        <v/>
      </c>
      <c r="W120" s="40" t="n"/>
      <c r="X120" s="42" t="n"/>
      <c r="Y120" s="40" t="n"/>
      <c r="Z120" s="32" t="str">
        <f>IF(C120="","",IF(OR(W120="Ordered",W120="Received",W120="Installed"),"Ordered",IF(AND(I120&lt;&gt;"",J120&lt;&gt;"",L120&lt;&gt;"",R120&lt;&gt;"",T120&lt;&gt;"",X120&lt;&gt;""),"READY","Missing: "&amp;_xlfn.TEXTJOIN(", ",TRUE,IF(I120="","model",""),IF(J120="","finish",""),IF(L120="","qty",""),IF(R120="","supplier",""),IF(T120="","lead time",""),IF(X120="","approval","")))))</f>
        <v/>
      </c>
      <c r="AA120" s="54" t="str">
        <f>IF(C120="","",IF(OR(W120="Ordered",W120="Received",W120="Installed"),"",IF(AND(G120&lt;&gt;"",X120="",G120&lt;TODAY()),"DECISION OVERDUE",IF(V120="","",IF(V120&lt;TODAY(),"ORDER OVERDUE",IF(V120-TODAY()&lt;=14,"ORDER SOON",""))))))</f>
        <v/>
      </c>
      <c r="AB120" s="35" t="str">
        <f>IF(Q120="","",IF(AND(X120="",Q120&gt;0),Q120,""))</f>
        <v/>
      </c>
      <c r="AC120" s="59" t="n"/>
      <c r="AD120" s="59" t="n"/>
      <c r="AE120" s="60" t="str">
        <f>IF(AND(C120&lt;&gt;"",B120='Client Sign-Off'!$D$7),COUNTIFS($B$6:B120,'Client Sign-Off'!$D$7,$C$6:C120,"?*"),"")</f>
        <v/>
      </c>
    </row>
    <row r="121" ht="18" customHeight="1">
      <c r="A121" s="54" t="str">
        <f>IF(C121="","",ROW()-5)</f>
        <v/>
      </c>
      <c r="B121" s="40" t="n"/>
      <c r="C121" s="40" t="n"/>
      <c r="D121" s="40" t="n"/>
      <c r="E121" s="40" t="n"/>
      <c r="F121" s="40" t="n"/>
      <c r="G121" s="55" t="str">
        <f>IF(F121="","",IFERROR(IF(INDEX(Project!$C$24:$C$27,MATCH(F121,Project!$B$24:$B$27,0))="","",INDEX(Project!$C$24:$C$27,MATCH(F121,Project!$B$24:$B$27,0))),""))</f>
        <v/>
      </c>
      <c r="H121" s="40" t="n"/>
      <c r="I121" s="40" t="n"/>
      <c r="J121" s="40" t="n"/>
      <c r="K121" s="40" t="n"/>
      <c r="L121" s="56" t="n"/>
      <c r="M121" s="40" t="n"/>
      <c r="N121" s="57" t="n"/>
      <c r="O121" s="35" t="str">
        <f>IF(OR(L121="",N121=""),"",L121*N121)</f>
        <v/>
      </c>
      <c r="P121" s="43" t="n"/>
      <c r="Q121" s="36" t="str">
        <f>IF(OR(O121="",P121=""),"",O121-P121)</f>
        <v/>
      </c>
      <c r="R121" s="40" t="n"/>
      <c r="S121" s="40" t="n"/>
      <c r="T121" s="58" t="n"/>
      <c r="U121" s="42" t="n"/>
      <c r="V121" s="55" t="str">
        <f>IF(OR(U121="",T121=""),"",U121-T121)</f>
        <v/>
      </c>
      <c r="W121" s="40" t="n"/>
      <c r="X121" s="42" t="n"/>
      <c r="Y121" s="40" t="n"/>
      <c r="Z121" s="32" t="str">
        <f>IF(C121="","",IF(OR(W121="Ordered",W121="Received",W121="Installed"),"Ordered",IF(AND(I121&lt;&gt;"",J121&lt;&gt;"",L121&lt;&gt;"",R121&lt;&gt;"",T121&lt;&gt;"",X121&lt;&gt;""),"READY","Missing: "&amp;_xlfn.TEXTJOIN(", ",TRUE,IF(I121="","model",""),IF(J121="","finish",""),IF(L121="","qty",""),IF(R121="","supplier",""),IF(T121="","lead time",""),IF(X121="","approval","")))))</f>
        <v/>
      </c>
      <c r="AA121" s="54" t="str">
        <f>IF(C121="","",IF(OR(W121="Ordered",W121="Received",W121="Installed"),"",IF(AND(G121&lt;&gt;"",X121="",G121&lt;TODAY()),"DECISION OVERDUE",IF(V121="","",IF(V121&lt;TODAY(),"ORDER OVERDUE",IF(V121-TODAY()&lt;=14,"ORDER SOON",""))))))</f>
        <v/>
      </c>
      <c r="AB121" s="35" t="str">
        <f>IF(Q121="","",IF(AND(X121="",Q121&gt;0),Q121,""))</f>
        <v/>
      </c>
      <c r="AC121" s="59" t="n"/>
      <c r="AD121" s="59" t="n"/>
      <c r="AE121" s="60" t="str">
        <f>IF(AND(C121&lt;&gt;"",B121='Client Sign-Off'!$D$7),COUNTIFS($B$6:B121,'Client Sign-Off'!$D$7,$C$6:C121,"?*"),"")</f>
        <v/>
      </c>
    </row>
    <row r="122" ht="18" customHeight="1">
      <c r="A122" s="54" t="str">
        <f>IF(C122="","",ROW()-5)</f>
        <v/>
      </c>
      <c r="B122" s="40" t="n"/>
      <c r="C122" s="40" t="n"/>
      <c r="D122" s="40" t="n"/>
      <c r="E122" s="40" t="n"/>
      <c r="F122" s="40" t="n"/>
      <c r="G122" s="55" t="str">
        <f>IF(F122="","",IFERROR(IF(INDEX(Project!$C$24:$C$27,MATCH(F122,Project!$B$24:$B$27,0))="","",INDEX(Project!$C$24:$C$27,MATCH(F122,Project!$B$24:$B$27,0))),""))</f>
        <v/>
      </c>
      <c r="H122" s="40" t="n"/>
      <c r="I122" s="40" t="n"/>
      <c r="J122" s="40" t="n"/>
      <c r="K122" s="40" t="n"/>
      <c r="L122" s="56" t="n"/>
      <c r="M122" s="40" t="n"/>
      <c r="N122" s="57" t="n"/>
      <c r="O122" s="35" t="str">
        <f>IF(OR(L122="",N122=""),"",L122*N122)</f>
        <v/>
      </c>
      <c r="P122" s="43" t="n"/>
      <c r="Q122" s="36" t="str">
        <f>IF(OR(O122="",P122=""),"",O122-P122)</f>
        <v/>
      </c>
      <c r="R122" s="40" t="n"/>
      <c r="S122" s="40" t="n"/>
      <c r="T122" s="58" t="n"/>
      <c r="U122" s="42" t="n"/>
      <c r="V122" s="55" t="str">
        <f>IF(OR(U122="",T122=""),"",U122-T122)</f>
        <v/>
      </c>
      <c r="W122" s="40" t="n"/>
      <c r="X122" s="42" t="n"/>
      <c r="Y122" s="40" t="n"/>
      <c r="Z122" s="32" t="str">
        <f>IF(C122="","",IF(OR(W122="Ordered",W122="Received",W122="Installed"),"Ordered",IF(AND(I122&lt;&gt;"",J122&lt;&gt;"",L122&lt;&gt;"",R122&lt;&gt;"",T122&lt;&gt;"",X122&lt;&gt;""),"READY","Missing: "&amp;_xlfn.TEXTJOIN(", ",TRUE,IF(I122="","model",""),IF(J122="","finish",""),IF(L122="","qty",""),IF(R122="","supplier",""),IF(T122="","lead time",""),IF(X122="","approval","")))))</f>
        <v/>
      </c>
      <c r="AA122" s="54" t="str">
        <f>IF(C122="","",IF(OR(W122="Ordered",W122="Received",W122="Installed"),"",IF(AND(G122&lt;&gt;"",X122="",G122&lt;TODAY()),"DECISION OVERDUE",IF(V122="","",IF(V122&lt;TODAY(),"ORDER OVERDUE",IF(V122-TODAY()&lt;=14,"ORDER SOON",""))))))</f>
        <v/>
      </c>
      <c r="AB122" s="35" t="str">
        <f>IF(Q122="","",IF(AND(X122="",Q122&gt;0),Q122,""))</f>
        <v/>
      </c>
      <c r="AC122" s="59" t="n"/>
      <c r="AD122" s="59" t="n"/>
      <c r="AE122" s="60" t="str">
        <f>IF(AND(C122&lt;&gt;"",B122='Client Sign-Off'!$D$7),COUNTIFS($B$6:B122,'Client Sign-Off'!$D$7,$C$6:C122,"?*"),"")</f>
        <v/>
      </c>
    </row>
    <row r="123" ht="18" customHeight="1">
      <c r="A123" s="54" t="str">
        <f>IF(C123="","",ROW()-5)</f>
        <v/>
      </c>
      <c r="B123" s="40" t="n"/>
      <c r="C123" s="40" t="n"/>
      <c r="D123" s="40" t="n"/>
      <c r="E123" s="40" t="n"/>
      <c r="F123" s="40" t="n"/>
      <c r="G123" s="55" t="str">
        <f>IF(F123="","",IFERROR(IF(INDEX(Project!$C$24:$C$27,MATCH(F123,Project!$B$24:$B$27,0))="","",INDEX(Project!$C$24:$C$27,MATCH(F123,Project!$B$24:$B$27,0))),""))</f>
        <v/>
      </c>
      <c r="H123" s="40" t="n"/>
      <c r="I123" s="40" t="n"/>
      <c r="J123" s="40" t="n"/>
      <c r="K123" s="40" t="n"/>
      <c r="L123" s="56" t="n"/>
      <c r="M123" s="40" t="n"/>
      <c r="N123" s="57" t="n"/>
      <c r="O123" s="35" t="str">
        <f>IF(OR(L123="",N123=""),"",L123*N123)</f>
        <v/>
      </c>
      <c r="P123" s="43" t="n"/>
      <c r="Q123" s="36" t="str">
        <f>IF(OR(O123="",P123=""),"",O123-P123)</f>
        <v/>
      </c>
      <c r="R123" s="40" t="n"/>
      <c r="S123" s="40" t="n"/>
      <c r="T123" s="58" t="n"/>
      <c r="U123" s="42" t="n"/>
      <c r="V123" s="55" t="str">
        <f>IF(OR(U123="",T123=""),"",U123-T123)</f>
        <v/>
      </c>
      <c r="W123" s="40" t="n"/>
      <c r="X123" s="42" t="n"/>
      <c r="Y123" s="40" t="n"/>
      <c r="Z123" s="32" t="str">
        <f>IF(C123="","",IF(OR(W123="Ordered",W123="Received",W123="Installed"),"Ordered",IF(AND(I123&lt;&gt;"",J123&lt;&gt;"",L123&lt;&gt;"",R123&lt;&gt;"",T123&lt;&gt;"",X123&lt;&gt;""),"READY","Missing: "&amp;_xlfn.TEXTJOIN(", ",TRUE,IF(I123="","model",""),IF(J123="","finish",""),IF(L123="","qty",""),IF(R123="","supplier",""),IF(T123="","lead time",""),IF(X123="","approval","")))))</f>
        <v/>
      </c>
      <c r="AA123" s="54" t="str">
        <f>IF(C123="","",IF(OR(W123="Ordered",W123="Received",W123="Installed"),"",IF(AND(G123&lt;&gt;"",X123="",G123&lt;TODAY()),"DECISION OVERDUE",IF(V123="","",IF(V123&lt;TODAY(),"ORDER OVERDUE",IF(V123-TODAY()&lt;=14,"ORDER SOON",""))))))</f>
        <v/>
      </c>
      <c r="AB123" s="35" t="str">
        <f>IF(Q123="","",IF(AND(X123="",Q123&gt;0),Q123,""))</f>
        <v/>
      </c>
      <c r="AC123" s="59" t="n"/>
      <c r="AD123" s="59" t="n"/>
      <c r="AE123" s="60" t="str">
        <f>IF(AND(C123&lt;&gt;"",B123='Client Sign-Off'!$D$7),COUNTIFS($B$6:B123,'Client Sign-Off'!$D$7,$C$6:C123,"?*"),"")</f>
        <v/>
      </c>
    </row>
    <row r="124" ht="18" customHeight="1">
      <c r="A124" s="54" t="str">
        <f>IF(C124="","",ROW()-5)</f>
        <v/>
      </c>
      <c r="B124" s="40" t="n"/>
      <c r="C124" s="40" t="n"/>
      <c r="D124" s="40" t="n"/>
      <c r="E124" s="40" t="n"/>
      <c r="F124" s="40" t="n"/>
      <c r="G124" s="55" t="str">
        <f>IF(F124="","",IFERROR(IF(INDEX(Project!$C$24:$C$27,MATCH(F124,Project!$B$24:$B$27,0))="","",INDEX(Project!$C$24:$C$27,MATCH(F124,Project!$B$24:$B$27,0))),""))</f>
        <v/>
      </c>
      <c r="H124" s="40" t="n"/>
      <c r="I124" s="40" t="n"/>
      <c r="J124" s="40" t="n"/>
      <c r="K124" s="40" t="n"/>
      <c r="L124" s="56" t="n"/>
      <c r="M124" s="40" t="n"/>
      <c r="N124" s="57" t="n"/>
      <c r="O124" s="35" t="str">
        <f>IF(OR(L124="",N124=""),"",L124*N124)</f>
        <v/>
      </c>
      <c r="P124" s="43" t="n"/>
      <c r="Q124" s="36" t="str">
        <f>IF(OR(O124="",P124=""),"",O124-P124)</f>
        <v/>
      </c>
      <c r="R124" s="40" t="n"/>
      <c r="S124" s="40" t="n"/>
      <c r="T124" s="58" t="n"/>
      <c r="U124" s="42" t="n"/>
      <c r="V124" s="55" t="str">
        <f>IF(OR(U124="",T124=""),"",U124-T124)</f>
        <v/>
      </c>
      <c r="W124" s="40" t="n"/>
      <c r="X124" s="42" t="n"/>
      <c r="Y124" s="40" t="n"/>
      <c r="Z124" s="32" t="str">
        <f>IF(C124="","",IF(OR(W124="Ordered",W124="Received",W124="Installed"),"Ordered",IF(AND(I124&lt;&gt;"",J124&lt;&gt;"",L124&lt;&gt;"",R124&lt;&gt;"",T124&lt;&gt;"",X124&lt;&gt;""),"READY","Missing: "&amp;_xlfn.TEXTJOIN(", ",TRUE,IF(I124="","model",""),IF(J124="","finish",""),IF(L124="","qty",""),IF(R124="","supplier",""),IF(T124="","lead time",""),IF(X124="","approval","")))))</f>
        <v/>
      </c>
      <c r="AA124" s="54" t="str">
        <f>IF(C124="","",IF(OR(W124="Ordered",W124="Received",W124="Installed"),"",IF(AND(G124&lt;&gt;"",X124="",G124&lt;TODAY()),"DECISION OVERDUE",IF(V124="","",IF(V124&lt;TODAY(),"ORDER OVERDUE",IF(V124-TODAY()&lt;=14,"ORDER SOON",""))))))</f>
        <v/>
      </c>
      <c r="AB124" s="35" t="str">
        <f>IF(Q124="","",IF(AND(X124="",Q124&gt;0),Q124,""))</f>
        <v/>
      </c>
      <c r="AC124" s="59" t="n"/>
      <c r="AD124" s="59" t="n"/>
      <c r="AE124" s="60" t="str">
        <f>IF(AND(C124&lt;&gt;"",B124='Client Sign-Off'!$D$7),COUNTIFS($B$6:B124,'Client Sign-Off'!$D$7,$C$6:C124,"?*"),"")</f>
        <v/>
      </c>
    </row>
    <row r="125" ht="18" customHeight="1">
      <c r="A125" s="54" t="str">
        <f>IF(C125="","",ROW()-5)</f>
        <v/>
      </c>
      <c r="B125" s="40" t="n"/>
      <c r="C125" s="40" t="n"/>
      <c r="D125" s="40" t="n"/>
      <c r="E125" s="40" t="n"/>
      <c r="F125" s="40" t="n"/>
      <c r="G125" s="55" t="str">
        <f>IF(F125="","",IFERROR(IF(INDEX(Project!$C$24:$C$27,MATCH(F125,Project!$B$24:$B$27,0))="","",INDEX(Project!$C$24:$C$27,MATCH(F125,Project!$B$24:$B$27,0))),""))</f>
        <v/>
      </c>
      <c r="H125" s="40" t="n"/>
      <c r="I125" s="40" t="n"/>
      <c r="J125" s="40" t="n"/>
      <c r="K125" s="40" t="n"/>
      <c r="L125" s="56" t="n"/>
      <c r="M125" s="40" t="n"/>
      <c r="N125" s="57" t="n"/>
      <c r="O125" s="35" t="str">
        <f>IF(OR(L125="",N125=""),"",L125*N125)</f>
        <v/>
      </c>
      <c r="P125" s="43" t="n"/>
      <c r="Q125" s="36" t="str">
        <f>IF(OR(O125="",P125=""),"",O125-P125)</f>
        <v/>
      </c>
      <c r="R125" s="40" t="n"/>
      <c r="S125" s="40" t="n"/>
      <c r="T125" s="58" t="n"/>
      <c r="U125" s="42" t="n"/>
      <c r="V125" s="55" t="str">
        <f>IF(OR(U125="",T125=""),"",U125-T125)</f>
        <v/>
      </c>
      <c r="W125" s="40" t="n"/>
      <c r="X125" s="42" t="n"/>
      <c r="Y125" s="40" t="n"/>
      <c r="Z125" s="32" t="str">
        <f>IF(C125="","",IF(OR(W125="Ordered",W125="Received",W125="Installed"),"Ordered",IF(AND(I125&lt;&gt;"",J125&lt;&gt;"",L125&lt;&gt;"",R125&lt;&gt;"",T125&lt;&gt;"",X125&lt;&gt;""),"READY","Missing: "&amp;_xlfn.TEXTJOIN(", ",TRUE,IF(I125="","model",""),IF(J125="","finish",""),IF(L125="","qty",""),IF(R125="","supplier",""),IF(T125="","lead time",""),IF(X125="","approval","")))))</f>
        <v/>
      </c>
      <c r="AA125" s="54" t="str">
        <f>IF(C125="","",IF(OR(W125="Ordered",W125="Received",W125="Installed"),"",IF(AND(G125&lt;&gt;"",X125="",G125&lt;TODAY()),"DECISION OVERDUE",IF(V125="","",IF(V125&lt;TODAY(),"ORDER OVERDUE",IF(V125-TODAY()&lt;=14,"ORDER SOON",""))))))</f>
        <v/>
      </c>
      <c r="AB125" s="35" t="str">
        <f>IF(Q125="","",IF(AND(X125="",Q125&gt;0),Q125,""))</f>
        <v/>
      </c>
      <c r="AC125" s="59" t="n"/>
      <c r="AD125" s="59" t="n"/>
      <c r="AE125" s="60" t="str">
        <f>IF(AND(C125&lt;&gt;"",B125='Client Sign-Off'!$D$7),COUNTIFS($B$6:B125,'Client Sign-Off'!$D$7,$C$6:C125,"?*"),"")</f>
        <v/>
      </c>
    </row>
    <row r="126" ht="18" customHeight="1">
      <c r="A126" s="54" t="str">
        <f>IF(C126="","",ROW()-5)</f>
        <v/>
      </c>
      <c r="B126" s="40" t="n"/>
      <c r="C126" s="40" t="n"/>
      <c r="D126" s="40" t="n"/>
      <c r="E126" s="40" t="n"/>
      <c r="F126" s="40" t="n"/>
      <c r="G126" s="55" t="str">
        <f>IF(F126="","",IFERROR(IF(INDEX(Project!$C$24:$C$27,MATCH(F126,Project!$B$24:$B$27,0))="","",INDEX(Project!$C$24:$C$27,MATCH(F126,Project!$B$24:$B$27,0))),""))</f>
        <v/>
      </c>
      <c r="H126" s="40" t="n"/>
      <c r="I126" s="40" t="n"/>
      <c r="J126" s="40" t="n"/>
      <c r="K126" s="40" t="n"/>
      <c r="L126" s="56" t="n"/>
      <c r="M126" s="40" t="n"/>
      <c r="N126" s="57" t="n"/>
      <c r="O126" s="35" t="str">
        <f>IF(OR(L126="",N126=""),"",L126*N126)</f>
        <v/>
      </c>
      <c r="P126" s="43" t="n"/>
      <c r="Q126" s="36" t="str">
        <f>IF(OR(O126="",P126=""),"",O126-P126)</f>
        <v/>
      </c>
      <c r="R126" s="40" t="n"/>
      <c r="S126" s="40" t="n"/>
      <c r="T126" s="58" t="n"/>
      <c r="U126" s="42" t="n"/>
      <c r="V126" s="55" t="str">
        <f>IF(OR(U126="",T126=""),"",U126-T126)</f>
        <v/>
      </c>
      <c r="W126" s="40" t="n"/>
      <c r="X126" s="42" t="n"/>
      <c r="Y126" s="40" t="n"/>
      <c r="Z126" s="32" t="str">
        <f>IF(C126="","",IF(OR(W126="Ordered",W126="Received",W126="Installed"),"Ordered",IF(AND(I126&lt;&gt;"",J126&lt;&gt;"",L126&lt;&gt;"",R126&lt;&gt;"",T126&lt;&gt;"",X126&lt;&gt;""),"READY","Missing: "&amp;_xlfn.TEXTJOIN(", ",TRUE,IF(I126="","model",""),IF(J126="","finish",""),IF(L126="","qty",""),IF(R126="","supplier",""),IF(T126="","lead time",""),IF(X126="","approval","")))))</f>
        <v/>
      </c>
      <c r="AA126" s="54" t="str">
        <f>IF(C126="","",IF(OR(W126="Ordered",W126="Received",W126="Installed"),"",IF(AND(G126&lt;&gt;"",X126="",G126&lt;TODAY()),"DECISION OVERDUE",IF(V126="","",IF(V126&lt;TODAY(),"ORDER OVERDUE",IF(V126-TODAY()&lt;=14,"ORDER SOON",""))))))</f>
        <v/>
      </c>
      <c r="AB126" s="35" t="str">
        <f>IF(Q126="","",IF(AND(X126="",Q126&gt;0),Q126,""))</f>
        <v/>
      </c>
      <c r="AC126" s="59" t="n"/>
      <c r="AD126" s="59" t="n"/>
      <c r="AE126" s="60" t="str">
        <f>IF(AND(C126&lt;&gt;"",B126='Client Sign-Off'!$D$7),COUNTIFS($B$6:B126,'Client Sign-Off'!$D$7,$C$6:C126,"?*"),"")</f>
        <v/>
      </c>
    </row>
    <row r="127" ht="18" customHeight="1">
      <c r="A127" s="54" t="str">
        <f>IF(C127="","",ROW()-5)</f>
        <v/>
      </c>
      <c r="B127" s="40" t="n"/>
      <c r="C127" s="40" t="n"/>
      <c r="D127" s="40" t="n"/>
      <c r="E127" s="40" t="n"/>
      <c r="F127" s="40" t="n"/>
      <c r="G127" s="55" t="str">
        <f>IF(F127="","",IFERROR(IF(INDEX(Project!$C$24:$C$27,MATCH(F127,Project!$B$24:$B$27,0))="","",INDEX(Project!$C$24:$C$27,MATCH(F127,Project!$B$24:$B$27,0))),""))</f>
        <v/>
      </c>
      <c r="H127" s="40" t="n"/>
      <c r="I127" s="40" t="n"/>
      <c r="J127" s="40" t="n"/>
      <c r="K127" s="40" t="n"/>
      <c r="L127" s="56" t="n"/>
      <c r="M127" s="40" t="n"/>
      <c r="N127" s="57" t="n"/>
      <c r="O127" s="35" t="str">
        <f>IF(OR(L127="",N127=""),"",L127*N127)</f>
        <v/>
      </c>
      <c r="P127" s="43" t="n"/>
      <c r="Q127" s="36" t="str">
        <f>IF(OR(O127="",P127=""),"",O127-P127)</f>
        <v/>
      </c>
      <c r="R127" s="40" t="n"/>
      <c r="S127" s="40" t="n"/>
      <c r="T127" s="58" t="n"/>
      <c r="U127" s="42" t="n"/>
      <c r="V127" s="55" t="str">
        <f>IF(OR(U127="",T127=""),"",U127-T127)</f>
        <v/>
      </c>
      <c r="W127" s="40" t="n"/>
      <c r="X127" s="42" t="n"/>
      <c r="Y127" s="40" t="n"/>
      <c r="Z127" s="32" t="str">
        <f>IF(C127="","",IF(OR(W127="Ordered",W127="Received",W127="Installed"),"Ordered",IF(AND(I127&lt;&gt;"",J127&lt;&gt;"",L127&lt;&gt;"",R127&lt;&gt;"",T127&lt;&gt;"",X127&lt;&gt;""),"READY","Missing: "&amp;_xlfn.TEXTJOIN(", ",TRUE,IF(I127="","model",""),IF(J127="","finish",""),IF(L127="","qty",""),IF(R127="","supplier",""),IF(T127="","lead time",""),IF(X127="","approval","")))))</f>
        <v/>
      </c>
      <c r="AA127" s="54" t="str">
        <f>IF(C127="","",IF(OR(W127="Ordered",W127="Received",W127="Installed"),"",IF(AND(G127&lt;&gt;"",X127="",G127&lt;TODAY()),"DECISION OVERDUE",IF(V127="","",IF(V127&lt;TODAY(),"ORDER OVERDUE",IF(V127-TODAY()&lt;=14,"ORDER SOON",""))))))</f>
        <v/>
      </c>
      <c r="AB127" s="35" t="str">
        <f>IF(Q127="","",IF(AND(X127="",Q127&gt;0),Q127,""))</f>
        <v/>
      </c>
      <c r="AC127" s="59" t="n"/>
      <c r="AD127" s="59" t="n"/>
      <c r="AE127" s="60" t="str">
        <f>IF(AND(C127&lt;&gt;"",B127='Client Sign-Off'!$D$7),COUNTIFS($B$6:B127,'Client Sign-Off'!$D$7,$C$6:C127,"?*"),"")</f>
        <v/>
      </c>
    </row>
    <row r="128" ht="18" customHeight="1">
      <c r="A128" s="54" t="str">
        <f>IF(C128="","",ROW()-5)</f>
        <v/>
      </c>
      <c r="B128" s="40" t="n"/>
      <c r="C128" s="40" t="n"/>
      <c r="D128" s="40" t="n"/>
      <c r="E128" s="40" t="n"/>
      <c r="F128" s="40" t="n"/>
      <c r="G128" s="55" t="str">
        <f>IF(F128="","",IFERROR(IF(INDEX(Project!$C$24:$C$27,MATCH(F128,Project!$B$24:$B$27,0))="","",INDEX(Project!$C$24:$C$27,MATCH(F128,Project!$B$24:$B$27,0))),""))</f>
        <v/>
      </c>
      <c r="H128" s="40" t="n"/>
      <c r="I128" s="40" t="n"/>
      <c r="J128" s="40" t="n"/>
      <c r="K128" s="40" t="n"/>
      <c r="L128" s="56" t="n"/>
      <c r="M128" s="40" t="n"/>
      <c r="N128" s="57" t="n"/>
      <c r="O128" s="35" t="str">
        <f>IF(OR(L128="",N128=""),"",L128*N128)</f>
        <v/>
      </c>
      <c r="P128" s="43" t="n"/>
      <c r="Q128" s="36" t="str">
        <f>IF(OR(O128="",P128=""),"",O128-P128)</f>
        <v/>
      </c>
      <c r="R128" s="40" t="n"/>
      <c r="S128" s="40" t="n"/>
      <c r="T128" s="58" t="n"/>
      <c r="U128" s="42" t="n"/>
      <c r="V128" s="55" t="str">
        <f>IF(OR(U128="",T128=""),"",U128-T128)</f>
        <v/>
      </c>
      <c r="W128" s="40" t="n"/>
      <c r="X128" s="42" t="n"/>
      <c r="Y128" s="40" t="n"/>
      <c r="Z128" s="32" t="str">
        <f>IF(C128="","",IF(OR(W128="Ordered",W128="Received",W128="Installed"),"Ordered",IF(AND(I128&lt;&gt;"",J128&lt;&gt;"",L128&lt;&gt;"",R128&lt;&gt;"",T128&lt;&gt;"",X128&lt;&gt;""),"READY","Missing: "&amp;_xlfn.TEXTJOIN(", ",TRUE,IF(I128="","model",""),IF(J128="","finish",""),IF(L128="","qty",""),IF(R128="","supplier",""),IF(T128="","lead time",""),IF(X128="","approval","")))))</f>
        <v/>
      </c>
      <c r="AA128" s="54" t="str">
        <f>IF(C128="","",IF(OR(W128="Ordered",W128="Received",W128="Installed"),"",IF(AND(G128&lt;&gt;"",X128="",G128&lt;TODAY()),"DECISION OVERDUE",IF(V128="","",IF(V128&lt;TODAY(),"ORDER OVERDUE",IF(V128-TODAY()&lt;=14,"ORDER SOON",""))))))</f>
        <v/>
      </c>
      <c r="AB128" s="35" t="str">
        <f>IF(Q128="","",IF(AND(X128="",Q128&gt;0),Q128,""))</f>
        <v/>
      </c>
      <c r="AC128" s="59" t="n"/>
      <c r="AD128" s="59" t="n"/>
      <c r="AE128" s="60" t="str">
        <f>IF(AND(C128&lt;&gt;"",B128='Client Sign-Off'!$D$7),COUNTIFS($B$6:B128,'Client Sign-Off'!$D$7,$C$6:C128,"?*"),"")</f>
        <v/>
      </c>
    </row>
    <row r="129" ht="18" customHeight="1">
      <c r="A129" s="54" t="str">
        <f>IF(C129="","",ROW()-5)</f>
        <v/>
      </c>
      <c r="B129" s="40" t="n"/>
      <c r="C129" s="40" t="n"/>
      <c r="D129" s="40" t="n"/>
      <c r="E129" s="40" t="n"/>
      <c r="F129" s="40" t="n"/>
      <c r="G129" s="55" t="str">
        <f>IF(F129="","",IFERROR(IF(INDEX(Project!$C$24:$C$27,MATCH(F129,Project!$B$24:$B$27,0))="","",INDEX(Project!$C$24:$C$27,MATCH(F129,Project!$B$24:$B$27,0))),""))</f>
        <v/>
      </c>
      <c r="H129" s="40" t="n"/>
      <c r="I129" s="40" t="n"/>
      <c r="J129" s="40" t="n"/>
      <c r="K129" s="40" t="n"/>
      <c r="L129" s="56" t="n"/>
      <c r="M129" s="40" t="n"/>
      <c r="N129" s="57" t="n"/>
      <c r="O129" s="35" t="str">
        <f>IF(OR(L129="",N129=""),"",L129*N129)</f>
        <v/>
      </c>
      <c r="P129" s="43" t="n"/>
      <c r="Q129" s="36" t="str">
        <f>IF(OR(O129="",P129=""),"",O129-P129)</f>
        <v/>
      </c>
      <c r="R129" s="40" t="n"/>
      <c r="S129" s="40" t="n"/>
      <c r="T129" s="58" t="n"/>
      <c r="U129" s="42" t="n"/>
      <c r="V129" s="55" t="str">
        <f>IF(OR(U129="",T129=""),"",U129-T129)</f>
        <v/>
      </c>
      <c r="W129" s="40" t="n"/>
      <c r="X129" s="42" t="n"/>
      <c r="Y129" s="40" t="n"/>
      <c r="Z129" s="32" t="str">
        <f>IF(C129="","",IF(OR(W129="Ordered",W129="Received",W129="Installed"),"Ordered",IF(AND(I129&lt;&gt;"",J129&lt;&gt;"",L129&lt;&gt;"",R129&lt;&gt;"",T129&lt;&gt;"",X129&lt;&gt;""),"READY","Missing: "&amp;_xlfn.TEXTJOIN(", ",TRUE,IF(I129="","model",""),IF(J129="","finish",""),IF(L129="","qty",""),IF(R129="","supplier",""),IF(T129="","lead time",""),IF(X129="","approval","")))))</f>
        <v/>
      </c>
      <c r="AA129" s="54" t="str">
        <f>IF(C129="","",IF(OR(W129="Ordered",W129="Received",W129="Installed"),"",IF(AND(G129&lt;&gt;"",X129="",G129&lt;TODAY()),"DECISION OVERDUE",IF(V129="","",IF(V129&lt;TODAY(),"ORDER OVERDUE",IF(V129-TODAY()&lt;=14,"ORDER SOON",""))))))</f>
        <v/>
      </c>
      <c r="AB129" s="35" t="str">
        <f>IF(Q129="","",IF(AND(X129="",Q129&gt;0),Q129,""))</f>
        <v/>
      </c>
      <c r="AC129" s="59" t="n"/>
      <c r="AD129" s="59" t="n"/>
      <c r="AE129" s="60" t="str">
        <f>IF(AND(C129&lt;&gt;"",B129='Client Sign-Off'!$D$7),COUNTIFS($B$6:B129,'Client Sign-Off'!$D$7,$C$6:C129,"?*"),"")</f>
        <v/>
      </c>
    </row>
    <row r="130" ht="18" customHeight="1">
      <c r="A130" s="54" t="str">
        <f>IF(C130="","",ROW()-5)</f>
        <v/>
      </c>
      <c r="B130" s="40" t="n"/>
      <c r="C130" s="40" t="n"/>
      <c r="D130" s="40" t="n"/>
      <c r="E130" s="40" t="n"/>
      <c r="F130" s="40" t="n"/>
      <c r="G130" s="55" t="str">
        <f>IF(F130="","",IFERROR(IF(INDEX(Project!$C$24:$C$27,MATCH(F130,Project!$B$24:$B$27,0))="","",INDEX(Project!$C$24:$C$27,MATCH(F130,Project!$B$24:$B$27,0))),""))</f>
        <v/>
      </c>
      <c r="H130" s="40" t="n"/>
      <c r="I130" s="40" t="n"/>
      <c r="J130" s="40" t="n"/>
      <c r="K130" s="40" t="n"/>
      <c r="L130" s="56" t="n"/>
      <c r="M130" s="40" t="n"/>
      <c r="N130" s="57" t="n"/>
      <c r="O130" s="35" t="str">
        <f>IF(OR(L130="",N130=""),"",L130*N130)</f>
        <v/>
      </c>
      <c r="P130" s="43" t="n"/>
      <c r="Q130" s="36" t="str">
        <f>IF(OR(O130="",P130=""),"",O130-P130)</f>
        <v/>
      </c>
      <c r="R130" s="40" t="n"/>
      <c r="S130" s="40" t="n"/>
      <c r="T130" s="58" t="n"/>
      <c r="U130" s="42" t="n"/>
      <c r="V130" s="55" t="str">
        <f>IF(OR(U130="",T130=""),"",U130-T130)</f>
        <v/>
      </c>
      <c r="W130" s="40" t="n"/>
      <c r="X130" s="42" t="n"/>
      <c r="Y130" s="40" t="n"/>
      <c r="Z130" s="32" t="str">
        <f>IF(C130="","",IF(OR(W130="Ordered",W130="Received",W130="Installed"),"Ordered",IF(AND(I130&lt;&gt;"",J130&lt;&gt;"",L130&lt;&gt;"",R130&lt;&gt;"",T130&lt;&gt;"",X130&lt;&gt;""),"READY","Missing: "&amp;_xlfn.TEXTJOIN(", ",TRUE,IF(I130="","model",""),IF(J130="","finish",""),IF(L130="","qty",""),IF(R130="","supplier",""),IF(T130="","lead time",""),IF(X130="","approval","")))))</f>
        <v/>
      </c>
      <c r="AA130" s="54" t="str">
        <f>IF(C130="","",IF(OR(W130="Ordered",W130="Received",W130="Installed"),"",IF(AND(G130&lt;&gt;"",X130="",G130&lt;TODAY()),"DECISION OVERDUE",IF(V130="","",IF(V130&lt;TODAY(),"ORDER OVERDUE",IF(V130-TODAY()&lt;=14,"ORDER SOON",""))))))</f>
        <v/>
      </c>
      <c r="AB130" s="35" t="str">
        <f>IF(Q130="","",IF(AND(X130="",Q130&gt;0),Q130,""))</f>
        <v/>
      </c>
      <c r="AC130" s="59" t="n"/>
      <c r="AD130" s="59" t="n"/>
      <c r="AE130" s="60" t="str">
        <f>IF(AND(C130&lt;&gt;"",B130='Client Sign-Off'!$D$7),COUNTIFS($B$6:B130,'Client Sign-Off'!$D$7,$C$6:C130,"?*"),"")</f>
        <v/>
      </c>
    </row>
    <row r="131" ht="18" customHeight="1">
      <c r="A131" s="54" t="str">
        <f>IF(C131="","",ROW()-5)</f>
        <v/>
      </c>
      <c r="B131" s="40" t="n"/>
      <c r="C131" s="40" t="n"/>
      <c r="D131" s="40" t="n"/>
      <c r="E131" s="40" t="n"/>
      <c r="F131" s="40" t="n"/>
      <c r="G131" s="55" t="str">
        <f>IF(F131="","",IFERROR(IF(INDEX(Project!$C$24:$C$27,MATCH(F131,Project!$B$24:$B$27,0))="","",INDEX(Project!$C$24:$C$27,MATCH(F131,Project!$B$24:$B$27,0))),""))</f>
        <v/>
      </c>
      <c r="H131" s="40" t="n"/>
      <c r="I131" s="40" t="n"/>
      <c r="J131" s="40" t="n"/>
      <c r="K131" s="40" t="n"/>
      <c r="L131" s="56" t="n"/>
      <c r="M131" s="40" t="n"/>
      <c r="N131" s="57" t="n"/>
      <c r="O131" s="35" t="str">
        <f>IF(OR(L131="",N131=""),"",L131*N131)</f>
        <v/>
      </c>
      <c r="P131" s="43" t="n"/>
      <c r="Q131" s="36" t="str">
        <f>IF(OR(O131="",P131=""),"",O131-P131)</f>
        <v/>
      </c>
      <c r="R131" s="40" t="n"/>
      <c r="S131" s="40" t="n"/>
      <c r="T131" s="58" t="n"/>
      <c r="U131" s="42" t="n"/>
      <c r="V131" s="55" t="str">
        <f>IF(OR(U131="",T131=""),"",U131-T131)</f>
        <v/>
      </c>
      <c r="W131" s="40" t="n"/>
      <c r="X131" s="42" t="n"/>
      <c r="Y131" s="40" t="n"/>
      <c r="Z131" s="32" t="str">
        <f>IF(C131="","",IF(OR(W131="Ordered",W131="Received",W131="Installed"),"Ordered",IF(AND(I131&lt;&gt;"",J131&lt;&gt;"",L131&lt;&gt;"",R131&lt;&gt;"",T131&lt;&gt;"",X131&lt;&gt;""),"READY","Missing: "&amp;_xlfn.TEXTJOIN(", ",TRUE,IF(I131="","model",""),IF(J131="","finish",""),IF(L131="","qty",""),IF(R131="","supplier",""),IF(T131="","lead time",""),IF(X131="","approval","")))))</f>
        <v/>
      </c>
      <c r="AA131" s="54" t="str">
        <f>IF(C131="","",IF(OR(W131="Ordered",W131="Received",W131="Installed"),"",IF(AND(G131&lt;&gt;"",X131="",G131&lt;TODAY()),"DECISION OVERDUE",IF(V131="","",IF(V131&lt;TODAY(),"ORDER OVERDUE",IF(V131-TODAY()&lt;=14,"ORDER SOON",""))))))</f>
        <v/>
      </c>
      <c r="AB131" s="35" t="str">
        <f>IF(Q131="","",IF(AND(X131="",Q131&gt;0),Q131,""))</f>
        <v/>
      </c>
      <c r="AC131" s="59" t="n"/>
      <c r="AD131" s="59" t="n"/>
      <c r="AE131" s="60" t="str">
        <f>IF(AND(C131&lt;&gt;"",B131='Client Sign-Off'!$D$7),COUNTIFS($B$6:B131,'Client Sign-Off'!$D$7,$C$6:C131,"?*"),"")</f>
        <v/>
      </c>
    </row>
    <row r="132" ht="18" customHeight="1">
      <c r="A132" s="54" t="str">
        <f>IF(C132="","",ROW()-5)</f>
        <v/>
      </c>
      <c r="B132" s="40" t="n"/>
      <c r="C132" s="40" t="n"/>
      <c r="D132" s="40" t="n"/>
      <c r="E132" s="40" t="n"/>
      <c r="F132" s="40" t="n"/>
      <c r="G132" s="55" t="str">
        <f>IF(F132="","",IFERROR(IF(INDEX(Project!$C$24:$C$27,MATCH(F132,Project!$B$24:$B$27,0))="","",INDEX(Project!$C$24:$C$27,MATCH(F132,Project!$B$24:$B$27,0))),""))</f>
        <v/>
      </c>
      <c r="H132" s="40" t="n"/>
      <c r="I132" s="40" t="n"/>
      <c r="J132" s="40" t="n"/>
      <c r="K132" s="40" t="n"/>
      <c r="L132" s="56" t="n"/>
      <c r="M132" s="40" t="n"/>
      <c r="N132" s="57" t="n"/>
      <c r="O132" s="35" t="str">
        <f>IF(OR(L132="",N132=""),"",L132*N132)</f>
        <v/>
      </c>
      <c r="P132" s="43" t="n"/>
      <c r="Q132" s="36" t="str">
        <f>IF(OR(O132="",P132=""),"",O132-P132)</f>
        <v/>
      </c>
      <c r="R132" s="40" t="n"/>
      <c r="S132" s="40" t="n"/>
      <c r="T132" s="58" t="n"/>
      <c r="U132" s="42" t="n"/>
      <c r="V132" s="55" t="str">
        <f>IF(OR(U132="",T132=""),"",U132-T132)</f>
        <v/>
      </c>
      <c r="W132" s="40" t="n"/>
      <c r="X132" s="42" t="n"/>
      <c r="Y132" s="40" t="n"/>
      <c r="Z132" s="32" t="str">
        <f>IF(C132="","",IF(OR(W132="Ordered",W132="Received",W132="Installed"),"Ordered",IF(AND(I132&lt;&gt;"",J132&lt;&gt;"",L132&lt;&gt;"",R132&lt;&gt;"",T132&lt;&gt;"",X132&lt;&gt;""),"READY","Missing: "&amp;_xlfn.TEXTJOIN(", ",TRUE,IF(I132="","model",""),IF(J132="","finish",""),IF(L132="","qty",""),IF(R132="","supplier",""),IF(T132="","lead time",""),IF(X132="","approval","")))))</f>
        <v/>
      </c>
      <c r="AA132" s="54" t="str">
        <f>IF(C132="","",IF(OR(W132="Ordered",W132="Received",W132="Installed"),"",IF(AND(G132&lt;&gt;"",X132="",G132&lt;TODAY()),"DECISION OVERDUE",IF(V132="","",IF(V132&lt;TODAY(),"ORDER OVERDUE",IF(V132-TODAY()&lt;=14,"ORDER SOON",""))))))</f>
        <v/>
      </c>
      <c r="AB132" s="35" t="str">
        <f>IF(Q132="","",IF(AND(X132="",Q132&gt;0),Q132,""))</f>
        <v/>
      </c>
      <c r="AC132" s="59" t="n"/>
      <c r="AD132" s="59" t="n"/>
      <c r="AE132" s="60" t="str">
        <f>IF(AND(C132&lt;&gt;"",B132='Client Sign-Off'!$D$7),COUNTIFS($B$6:B132,'Client Sign-Off'!$D$7,$C$6:C132,"?*"),"")</f>
        <v/>
      </c>
    </row>
    <row r="133" ht="18" customHeight="1">
      <c r="A133" s="54" t="str">
        <f>IF(C133="","",ROW()-5)</f>
        <v/>
      </c>
      <c r="B133" s="40" t="n"/>
      <c r="C133" s="40" t="n"/>
      <c r="D133" s="40" t="n"/>
      <c r="E133" s="40" t="n"/>
      <c r="F133" s="40" t="n"/>
      <c r="G133" s="55" t="str">
        <f>IF(F133="","",IFERROR(IF(INDEX(Project!$C$24:$C$27,MATCH(F133,Project!$B$24:$B$27,0))="","",INDEX(Project!$C$24:$C$27,MATCH(F133,Project!$B$24:$B$27,0))),""))</f>
        <v/>
      </c>
      <c r="H133" s="40" t="n"/>
      <c r="I133" s="40" t="n"/>
      <c r="J133" s="40" t="n"/>
      <c r="K133" s="40" t="n"/>
      <c r="L133" s="56" t="n"/>
      <c r="M133" s="40" t="n"/>
      <c r="N133" s="57" t="n"/>
      <c r="O133" s="35" t="str">
        <f>IF(OR(L133="",N133=""),"",L133*N133)</f>
        <v/>
      </c>
      <c r="P133" s="43" t="n"/>
      <c r="Q133" s="36" t="str">
        <f>IF(OR(O133="",P133=""),"",O133-P133)</f>
        <v/>
      </c>
      <c r="R133" s="40" t="n"/>
      <c r="S133" s="40" t="n"/>
      <c r="T133" s="58" t="n"/>
      <c r="U133" s="42" t="n"/>
      <c r="V133" s="55" t="str">
        <f>IF(OR(U133="",T133=""),"",U133-T133)</f>
        <v/>
      </c>
      <c r="W133" s="40" t="n"/>
      <c r="X133" s="42" t="n"/>
      <c r="Y133" s="40" t="n"/>
      <c r="Z133" s="32" t="str">
        <f>IF(C133="","",IF(OR(W133="Ordered",W133="Received",W133="Installed"),"Ordered",IF(AND(I133&lt;&gt;"",J133&lt;&gt;"",L133&lt;&gt;"",R133&lt;&gt;"",T133&lt;&gt;"",X133&lt;&gt;""),"READY","Missing: "&amp;_xlfn.TEXTJOIN(", ",TRUE,IF(I133="","model",""),IF(J133="","finish",""),IF(L133="","qty",""),IF(R133="","supplier",""),IF(T133="","lead time",""),IF(X133="","approval","")))))</f>
        <v/>
      </c>
      <c r="AA133" s="54" t="str">
        <f>IF(C133="","",IF(OR(W133="Ordered",W133="Received",W133="Installed"),"",IF(AND(G133&lt;&gt;"",X133="",G133&lt;TODAY()),"DECISION OVERDUE",IF(V133="","",IF(V133&lt;TODAY(),"ORDER OVERDUE",IF(V133-TODAY()&lt;=14,"ORDER SOON",""))))))</f>
        <v/>
      </c>
      <c r="AB133" s="35" t="str">
        <f>IF(Q133="","",IF(AND(X133="",Q133&gt;0),Q133,""))</f>
        <v/>
      </c>
      <c r="AC133" s="59" t="n"/>
      <c r="AD133" s="59" t="n"/>
      <c r="AE133" s="60" t="str">
        <f>IF(AND(C133&lt;&gt;"",B133='Client Sign-Off'!$D$7),COUNTIFS($B$6:B133,'Client Sign-Off'!$D$7,$C$6:C133,"?*"),"")</f>
        <v/>
      </c>
    </row>
    <row r="134" ht="18" customHeight="1">
      <c r="A134" s="54" t="str">
        <f>IF(C134="","",ROW()-5)</f>
        <v/>
      </c>
      <c r="B134" s="40" t="n"/>
      <c r="C134" s="40" t="n"/>
      <c r="D134" s="40" t="n"/>
      <c r="E134" s="40" t="n"/>
      <c r="F134" s="40" t="n"/>
      <c r="G134" s="55" t="str">
        <f>IF(F134="","",IFERROR(IF(INDEX(Project!$C$24:$C$27,MATCH(F134,Project!$B$24:$B$27,0))="","",INDEX(Project!$C$24:$C$27,MATCH(F134,Project!$B$24:$B$27,0))),""))</f>
        <v/>
      </c>
      <c r="H134" s="40" t="n"/>
      <c r="I134" s="40" t="n"/>
      <c r="J134" s="40" t="n"/>
      <c r="K134" s="40" t="n"/>
      <c r="L134" s="56" t="n"/>
      <c r="M134" s="40" t="n"/>
      <c r="N134" s="57" t="n"/>
      <c r="O134" s="35" t="str">
        <f>IF(OR(L134="",N134=""),"",L134*N134)</f>
        <v/>
      </c>
      <c r="P134" s="43" t="n"/>
      <c r="Q134" s="36" t="str">
        <f>IF(OR(O134="",P134=""),"",O134-P134)</f>
        <v/>
      </c>
      <c r="R134" s="40" t="n"/>
      <c r="S134" s="40" t="n"/>
      <c r="T134" s="58" t="n"/>
      <c r="U134" s="42" t="n"/>
      <c r="V134" s="55" t="str">
        <f>IF(OR(U134="",T134=""),"",U134-T134)</f>
        <v/>
      </c>
      <c r="W134" s="40" t="n"/>
      <c r="X134" s="42" t="n"/>
      <c r="Y134" s="40" t="n"/>
      <c r="Z134" s="32" t="str">
        <f>IF(C134="","",IF(OR(W134="Ordered",W134="Received",W134="Installed"),"Ordered",IF(AND(I134&lt;&gt;"",J134&lt;&gt;"",L134&lt;&gt;"",R134&lt;&gt;"",T134&lt;&gt;"",X134&lt;&gt;""),"READY","Missing: "&amp;_xlfn.TEXTJOIN(", ",TRUE,IF(I134="","model",""),IF(J134="","finish",""),IF(L134="","qty",""),IF(R134="","supplier",""),IF(T134="","lead time",""),IF(X134="","approval","")))))</f>
        <v/>
      </c>
      <c r="AA134" s="54" t="str">
        <f>IF(C134="","",IF(OR(W134="Ordered",W134="Received",W134="Installed"),"",IF(AND(G134&lt;&gt;"",X134="",G134&lt;TODAY()),"DECISION OVERDUE",IF(V134="","",IF(V134&lt;TODAY(),"ORDER OVERDUE",IF(V134-TODAY()&lt;=14,"ORDER SOON",""))))))</f>
        <v/>
      </c>
      <c r="AB134" s="35" t="str">
        <f>IF(Q134="","",IF(AND(X134="",Q134&gt;0),Q134,""))</f>
        <v/>
      </c>
      <c r="AC134" s="59" t="n"/>
      <c r="AD134" s="59" t="n"/>
      <c r="AE134" s="60" t="str">
        <f>IF(AND(C134&lt;&gt;"",B134='Client Sign-Off'!$D$7),COUNTIFS($B$6:B134,'Client Sign-Off'!$D$7,$C$6:C134,"?*"),"")</f>
        <v/>
      </c>
    </row>
    <row r="135" ht="18" customHeight="1">
      <c r="A135" s="54" t="str">
        <f>IF(C135="","",ROW()-5)</f>
        <v/>
      </c>
      <c r="B135" s="40" t="n"/>
      <c r="C135" s="40" t="n"/>
      <c r="D135" s="40" t="n"/>
      <c r="E135" s="40" t="n"/>
      <c r="F135" s="40" t="n"/>
      <c r="G135" s="55" t="str">
        <f>IF(F135="","",IFERROR(IF(INDEX(Project!$C$24:$C$27,MATCH(F135,Project!$B$24:$B$27,0))="","",INDEX(Project!$C$24:$C$27,MATCH(F135,Project!$B$24:$B$27,0))),""))</f>
        <v/>
      </c>
      <c r="H135" s="40" t="n"/>
      <c r="I135" s="40" t="n"/>
      <c r="J135" s="40" t="n"/>
      <c r="K135" s="40" t="n"/>
      <c r="L135" s="56" t="n"/>
      <c r="M135" s="40" t="n"/>
      <c r="N135" s="57" t="n"/>
      <c r="O135" s="35" t="str">
        <f>IF(OR(L135="",N135=""),"",L135*N135)</f>
        <v/>
      </c>
      <c r="P135" s="43" t="n"/>
      <c r="Q135" s="36" t="str">
        <f>IF(OR(O135="",P135=""),"",O135-P135)</f>
        <v/>
      </c>
      <c r="R135" s="40" t="n"/>
      <c r="S135" s="40" t="n"/>
      <c r="T135" s="58" t="n"/>
      <c r="U135" s="42" t="n"/>
      <c r="V135" s="55" t="str">
        <f>IF(OR(U135="",T135=""),"",U135-T135)</f>
        <v/>
      </c>
      <c r="W135" s="40" t="n"/>
      <c r="X135" s="42" t="n"/>
      <c r="Y135" s="40" t="n"/>
      <c r="Z135" s="32" t="str">
        <f>IF(C135="","",IF(OR(W135="Ordered",W135="Received",W135="Installed"),"Ordered",IF(AND(I135&lt;&gt;"",J135&lt;&gt;"",L135&lt;&gt;"",R135&lt;&gt;"",T135&lt;&gt;"",X135&lt;&gt;""),"READY","Missing: "&amp;_xlfn.TEXTJOIN(", ",TRUE,IF(I135="","model",""),IF(J135="","finish",""),IF(L135="","qty",""),IF(R135="","supplier",""),IF(T135="","lead time",""),IF(X135="","approval","")))))</f>
        <v/>
      </c>
      <c r="AA135" s="54" t="str">
        <f>IF(C135="","",IF(OR(W135="Ordered",W135="Received",W135="Installed"),"",IF(AND(G135&lt;&gt;"",X135="",G135&lt;TODAY()),"DECISION OVERDUE",IF(V135="","",IF(V135&lt;TODAY(),"ORDER OVERDUE",IF(V135-TODAY()&lt;=14,"ORDER SOON",""))))))</f>
        <v/>
      </c>
      <c r="AB135" s="35" t="str">
        <f>IF(Q135="","",IF(AND(X135="",Q135&gt;0),Q135,""))</f>
        <v/>
      </c>
      <c r="AC135" s="59" t="n"/>
      <c r="AD135" s="59" t="n"/>
      <c r="AE135" s="60" t="str">
        <f>IF(AND(C135&lt;&gt;"",B135='Client Sign-Off'!$D$7),COUNTIFS($B$6:B135,'Client Sign-Off'!$D$7,$C$6:C135,"?*"),"")</f>
        <v/>
      </c>
    </row>
    <row r="136" ht="18" customHeight="1">
      <c r="A136" s="54" t="str">
        <f>IF(C136="","",ROW()-5)</f>
        <v/>
      </c>
      <c r="B136" s="40" t="n"/>
      <c r="C136" s="40" t="n"/>
      <c r="D136" s="40" t="n"/>
      <c r="E136" s="40" t="n"/>
      <c r="F136" s="40" t="n"/>
      <c r="G136" s="55" t="str">
        <f>IF(F136="","",IFERROR(IF(INDEX(Project!$C$24:$C$27,MATCH(F136,Project!$B$24:$B$27,0))="","",INDEX(Project!$C$24:$C$27,MATCH(F136,Project!$B$24:$B$27,0))),""))</f>
        <v/>
      </c>
      <c r="H136" s="40" t="n"/>
      <c r="I136" s="40" t="n"/>
      <c r="J136" s="40" t="n"/>
      <c r="K136" s="40" t="n"/>
      <c r="L136" s="56" t="n"/>
      <c r="M136" s="40" t="n"/>
      <c r="N136" s="57" t="n"/>
      <c r="O136" s="35" t="str">
        <f>IF(OR(L136="",N136=""),"",L136*N136)</f>
        <v/>
      </c>
      <c r="P136" s="43" t="n"/>
      <c r="Q136" s="36" t="str">
        <f>IF(OR(O136="",P136=""),"",O136-P136)</f>
        <v/>
      </c>
      <c r="R136" s="40" t="n"/>
      <c r="S136" s="40" t="n"/>
      <c r="T136" s="58" t="n"/>
      <c r="U136" s="42" t="n"/>
      <c r="V136" s="55" t="str">
        <f>IF(OR(U136="",T136=""),"",U136-T136)</f>
        <v/>
      </c>
      <c r="W136" s="40" t="n"/>
      <c r="X136" s="42" t="n"/>
      <c r="Y136" s="40" t="n"/>
      <c r="Z136" s="32" t="str">
        <f>IF(C136="","",IF(OR(W136="Ordered",W136="Received",W136="Installed"),"Ordered",IF(AND(I136&lt;&gt;"",J136&lt;&gt;"",L136&lt;&gt;"",R136&lt;&gt;"",T136&lt;&gt;"",X136&lt;&gt;""),"READY","Missing: "&amp;_xlfn.TEXTJOIN(", ",TRUE,IF(I136="","model",""),IF(J136="","finish",""),IF(L136="","qty",""),IF(R136="","supplier",""),IF(T136="","lead time",""),IF(X136="","approval","")))))</f>
        <v/>
      </c>
      <c r="AA136" s="54" t="str">
        <f>IF(C136="","",IF(OR(W136="Ordered",W136="Received",W136="Installed"),"",IF(AND(G136&lt;&gt;"",X136="",G136&lt;TODAY()),"DECISION OVERDUE",IF(V136="","",IF(V136&lt;TODAY(),"ORDER OVERDUE",IF(V136-TODAY()&lt;=14,"ORDER SOON",""))))))</f>
        <v/>
      </c>
      <c r="AB136" s="35" t="str">
        <f>IF(Q136="","",IF(AND(X136="",Q136&gt;0),Q136,""))</f>
        <v/>
      </c>
      <c r="AC136" s="59" t="n"/>
      <c r="AD136" s="59" t="n"/>
      <c r="AE136" s="60" t="str">
        <f>IF(AND(C136&lt;&gt;"",B136='Client Sign-Off'!$D$7),COUNTIFS($B$6:B136,'Client Sign-Off'!$D$7,$C$6:C136,"?*"),"")</f>
        <v/>
      </c>
    </row>
    <row r="137" ht="18" customHeight="1">
      <c r="A137" s="54" t="str">
        <f>IF(C137="","",ROW()-5)</f>
        <v/>
      </c>
      <c r="B137" s="40" t="n"/>
      <c r="C137" s="40" t="n"/>
      <c r="D137" s="40" t="n"/>
      <c r="E137" s="40" t="n"/>
      <c r="F137" s="40" t="n"/>
      <c r="G137" s="55" t="str">
        <f>IF(F137="","",IFERROR(IF(INDEX(Project!$C$24:$C$27,MATCH(F137,Project!$B$24:$B$27,0))="","",INDEX(Project!$C$24:$C$27,MATCH(F137,Project!$B$24:$B$27,0))),""))</f>
        <v/>
      </c>
      <c r="H137" s="40" t="n"/>
      <c r="I137" s="40" t="n"/>
      <c r="J137" s="40" t="n"/>
      <c r="K137" s="40" t="n"/>
      <c r="L137" s="56" t="n"/>
      <c r="M137" s="40" t="n"/>
      <c r="N137" s="57" t="n"/>
      <c r="O137" s="35" t="str">
        <f>IF(OR(L137="",N137=""),"",L137*N137)</f>
        <v/>
      </c>
      <c r="P137" s="43" t="n"/>
      <c r="Q137" s="36" t="str">
        <f>IF(OR(O137="",P137=""),"",O137-P137)</f>
        <v/>
      </c>
      <c r="R137" s="40" t="n"/>
      <c r="S137" s="40" t="n"/>
      <c r="T137" s="58" t="n"/>
      <c r="U137" s="42" t="n"/>
      <c r="V137" s="55" t="str">
        <f>IF(OR(U137="",T137=""),"",U137-T137)</f>
        <v/>
      </c>
      <c r="W137" s="40" t="n"/>
      <c r="X137" s="42" t="n"/>
      <c r="Y137" s="40" t="n"/>
      <c r="Z137" s="32" t="str">
        <f>IF(C137="","",IF(OR(W137="Ordered",W137="Received",W137="Installed"),"Ordered",IF(AND(I137&lt;&gt;"",J137&lt;&gt;"",L137&lt;&gt;"",R137&lt;&gt;"",T137&lt;&gt;"",X137&lt;&gt;""),"READY","Missing: "&amp;_xlfn.TEXTJOIN(", ",TRUE,IF(I137="","model",""),IF(J137="","finish",""),IF(L137="","qty",""),IF(R137="","supplier",""),IF(T137="","lead time",""),IF(X137="","approval","")))))</f>
        <v/>
      </c>
      <c r="AA137" s="54" t="str">
        <f>IF(C137="","",IF(OR(W137="Ordered",W137="Received",W137="Installed"),"",IF(AND(G137&lt;&gt;"",X137="",G137&lt;TODAY()),"DECISION OVERDUE",IF(V137="","",IF(V137&lt;TODAY(),"ORDER OVERDUE",IF(V137-TODAY()&lt;=14,"ORDER SOON",""))))))</f>
        <v/>
      </c>
      <c r="AB137" s="35" t="str">
        <f>IF(Q137="","",IF(AND(X137="",Q137&gt;0),Q137,""))</f>
        <v/>
      </c>
      <c r="AC137" s="59" t="n"/>
      <c r="AD137" s="59" t="n"/>
      <c r="AE137" s="60" t="str">
        <f>IF(AND(C137&lt;&gt;"",B137='Client Sign-Off'!$D$7),COUNTIFS($B$6:B137,'Client Sign-Off'!$D$7,$C$6:C137,"?*"),"")</f>
        <v/>
      </c>
    </row>
    <row r="138" ht="18" customHeight="1">
      <c r="A138" s="54" t="str">
        <f>IF(C138="","",ROW()-5)</f>
        <v/>
      </c>
      <c r="B138" s="40" t="n"/>
      <c r="C138" s="40" t="n"/>
      <c r="D138" s="40" t="n"/>
      <c r="E138" s="40" t="n"/>
      <c r="F138" s="40" t="n"/>
      <c r="G138" s="55" t="str">
        <f>IF(F138="","",IFERROR(IF(INDEX(Project!$C$24:$C$27,MATCH(F138,Project!$B$24:$B$27,0))="","",INDEX(Project!$C$24:$C$27,MATCH(F138,Project!$B$24:$B$27,0))),""))</f>
        <v/>
      </c>
      <c r="H138" s="40" t="n"/>
      <c r="I138" s="40" t="n"/>
      <c r="J138" s="40" t="n"/>
      <c r="K138" s="40" t="n"/>
      <c r="L138" s="56" t="n"/>
      <c r="M138" s="40" t="n"/>
      <c r="N138" s="57" t="n"/>
      <c r="O138" s="35" t="str">
        <f>IF(OR(L138="",N138=""),"",L138*N138)</f>
        <v/>
      </c>
      <c r="P138" s="43" t="n"/>
      <c r="Q138" s="36" t="str">
        <f>IF(OR(O138="",P138=""),"",O138-P138)</f>
        <v/>
      </c>
      <c r="R138" s="40" t="n"/>
      <c r="S138" s="40" t="n"/>
      <c r="T138" s="58" t="n"/>
      <c r="U138" s="42" t="n"/>
      <c r="V138" s="55" t="str">
        <f>IF(OR(U138="",T138=""),"",U138-T138)</f>
        <v/>
      </c>
      <c r="W138" s="40" t="n"/>
      <c r="X138" s="42" t="n"/>
      <c r="Y138" s="40" t="n"/>
      <c r="Z138" s="32" t="str">
        <f>IF(C138="","",IF(OR(W138="Ordered",W138="Received",W138="Installed"),"Ordered",IF(AND(I138&lt;&gt;"",J138&lt;&gt;"",L138&lt;&gt;"",R138&lt;&gt;"",T138&lt;&gt;"",X138&lt;&gt;""),"READY","Missing: "&amp;_xlfn.TEXTJOIN(", ",TRUE,IF(I138="","model",""),IF(J138="","finish",""),IF(L138="","qty",""),IF(R138="","supplier",""),IF(T138="","lead time",""),IF(X138="","approval","")))))</f>
        <v/>
      </c>
      <c r="AA138" s="54" t="str">
        <f>IF(C138="","",IF(OR(W138="Ordered",W138="Received",W138="Installed"),"",IF(AND(G138&lt;&gt;"",X138="",G138&lt;TODAY()),"DECISION OVERDUE",IF(V138="","",IF(V138&lt;TODAY(),"ORDER OVERDUE",IF(V138-TODAY()&lt;=14,"ORDER SOON",""))))))</f>
        <v/>
      </c>
      <c r="AB138" s="35" t="str">
        <f>IF(Q138="","",IF(AND(X138="",Q138&gt;0),Q138,""))</f>
        <v/>
      </c>
      <c r="AC138" s="59" t="n"/>
      <c r="AD138" s="59" t="n"/>
      <c r="AE138" s="60" t="str">
        <f>IF(AND(C138&lt;&gt;"",B138='Client Sign-Off'!$D$7),COUNTIFS($B$6:B138,'Client Sign-Off'!$D$7,$C$6:C138,"?*"),"")</f>
        <v/>
      </c>
    </row>
    <row r="139" ht="18" customHeight="1">
      <c r="A139" s="54" t="str">
        <f>IF(C139="","",ROW()-5)</f>
        <v/>
      </c>
      <c r="B139" s="40" t="n"/>
      <c r="C139" s="40" t="n"/>
      <c r="D139" s="40" t="n"/>
      <c r="E139" s="40" t="n"/>
      <c r="F139" s="40" t="n"/>
      <c r="G139" s="55" t="str">
        <f>IF(F139="","",IFERROR(IF(INDEX(Project!$C$24:$C$27,MATCH(F139,Project!$B$24:$B$27,0))="","",INDEX(Project!$C$24:$C$27,MATCH(F139,Project!$B$24:$B$27,0))),""))</f>
        <v/>
      </c>
      <c r="H139" s="40" t="n"/>
      <c r="I139" s="40" t="n"/>
      <c r="J139" s="40" t="n"/>
      <c r="K139" s="40" t="n"/>
      <c r="L139" s="56" t="n"/>
      <c r="M139" s="40" t="n"/>
      <c r="N139" s="57" t="n"/>
      <c r="O139" s="35" t="str">
        <f>IF(OR(L139="",N139=""),"",L139*N139)</f>
        <v/>
      </c>
      <c r="P139" s="43" t="n"/>
      <c r="Q139" s="36" t="str">
        <f>IF(OR(O139="",P139=""),"",O139-P139)</f>
        <v/>
      </c>
      <c r="R139" s="40" t="n"/>
      <c r="S139" s="40" t="n"/>
      <c r="T139" s="58" t="n"/>
      <c r="U139" s="42" t="n"/>
      <c r="V139" s="55" t="str">
        <f>IF(OR(U139="",T139=""),"",U139-T139)</f>
        <v/>
      </c>
      <c r="W139" s="40" t="n"/>
      <c r="X139" s="42" t="n"/>
      <c r="Y139" s="40" t="n"/>
      <c r="Z139" s="32" t="str">
        <f>IF(C139="","",IF(OR(W139="Ordered",W139="Received",W139="Installed"),"Ordered",IF(AND(I139&lt;&gt;"",J139&lt;&gt;"",L139&lt;&gt;"",R139&lt;&gt;"",T139&lt;&gt;"",X139&lt;&gt;""),"READY","Missing: "&amp;_xlfn.TEXTJOIN(", ",TRUE,IF(I139="","model",""),IF(J139="","finish",""),IF(L139="","qty",""),IF(R139="","supplier",""),IF(T139="","lead time",""),IF(X139="","approval","")))))</f>
        <v/>
      </c>
      <c r="AA139" s="54" t="str">
        <f>IF(C139="","",IF(OR(W139="Ordered",W139="Received",W139="Installed"),"",IF(AND(G139&lt;&gt;"",X139="",G139&lt;TODAY()),"DECISION OVERDUE",IF(V139="","",IF(V139&lt;TODAY(),"ORDER OVERDUE",IF(V139-TODAY()&lt;=14,"ORDER SOON",""))))))</f>
        <v/>
      </c>
      <c r="AB139" s="35" t="str">
        <f>IF(Q139="","",IF(AND(X139="",Q139&gt;0),Q139,""))</f>
        <v/>
      </c>
      <c r="AC139" s="59" t="n"/>
      <c r="AD139" s="59" t="n"/>
      <c r="AE139" s="60" t="str">
        <f>IF(AND(C139&lt;&gt;"",B139='Client Sign-Off'!$D$7),COUNTIFS($B$6:B139,'Client Sign-Off'!$D$7,$C$6:C139,"?*"),"")</f>
        <v/>
      </c>
    </row>
    <row r="140" ht="18" customHeight="1">
      <c r="A140" s="54" t="str">
        <f>IF(C140="","",ROW()-5)</f>
        <v/>
      </c>
      <c r="B140" s="40" t="n"/>
      <c r="C140" s="40" t="n"/>
      <c r="D140" s="40" t="n"/>
      <c r="E140" s="40" t="n"/>
      <c r="F140" s="40" t="n"/>
      <c r="G140" s="55" t="str">
        <f>IF(F140="","",IFERROR(IF(INDEX(Project!$C$24:$C$27,MATCH(F140,Project!$B$24:$B$27,0))="","",INDEX(Project!$C$24:$C$27,MATCH(F140,Project!$B$24:$B$27,0))),""))</f>
        <v/>
      </c>
      <c r="H140" s="40" t="n"/>
      <c r="I140" s="40" t="n"/>
      <c r="J140" s="40" t="n"/>
      <c r="K140" s="40" t="n"/>
      <c r="L140" s="56" t="n"/>
      <c r="M140" s="40" t="n"/>
      <c r="N140" s="57" t="n"/>
      <c r="O140" s="35" t="str">
        <f>IF(OR(L140="",N140=""),"",L140*N140)</f>
        <v/>
      </c>
      <c r="P140" s="43" t="n"/>
      <c r="Q140" s="36" t="str">
        <f>IF(OR(O140="",P140=""),"",O140-P140)</f>
        <v/>
      </c>
      <c r="R140" s="40" t="n"/>
      <c r="S140" s="40" t="n"/>
      <c r="T140" s="58" t="n"/>
      <c r="U140" s="42" t="n"/>
      <c r="V140" s="55" t="str">
        <f>IF(OR(U140="",T140=""),"",U140-T140)</f>
        <v/>
      </c>
      <c r="W140" s="40" t="n"/>
      <c r="X140" s="42" t="n"/>
      <c r="Y140" s="40" t="n"/>
      <c r="Z140" s="32" t="str">
        <f>IF(C140="","",IF(OR(W140="Ordered",W140="Received",W140="Installed"),"Ordered",IF(AND(I140&lt;&gt;"",J140&lt;&gt;"",L140&lt;&gt;"",R140&lt;&gt;"",T140&lt;&gt;"",X140&lt;&gt;""),"READY","Missing: "&amp;_xlfn.TEXTJOIN(", ",TRUE,IF(I140="","model",""),IF(J140="","finish",""),IF(L140="","qty",""),IF(R140="","supplier",""),IF(T140="","lead time",""),IF(X140="","approval","")))))</f>
        <v/>
      </c>
      <c r="AA140" s="54" t="str">
        <f>IF(C140="","",IF(OR(W140="Ordered",W140="Received",W140="Installed"),"",IF(AND(G140&lt;&gt;"",X140="",G140&lt;TODAY()),"DECISION OVERDUE",IF(V140="","",IF(V140&lt;TODAY(),"ORDER OVERDUE",IF(V140-TODAY()&lt;=14,"ORDER SOON",""))))))</f>
        <v/>
      </c>
      <c r="AB140" s="35" t="str">
        <f>IF(Q140="","",IF(AND(X140="",Q140&gt;0),Q140,""))</f>
        <v/>
      </c>
      <c r="AC140" s="59" t="n"/>
      <c r="AD140" s="59" t="n"/>
      <c r="AE140" s="60" t="str">
        <f>IF(AND(C140&lt;&gt;"",B140='Client Sign-Off'!$D$7),COUNTIFS($B$6:B140,'Client Sign-Off'!$D$7,$C$6:C140,"?*"),"")</f>
        <v/>
      </c>
    </row>
    <row r="141" ht="18" customHeight="1">
      <c r="A141" s="54" t="str">
        <f>IF(C141="","",ROW()-5)</f>
        <v/>
      </c>
      <c r="B141" s="40" t="n"/>
      <c r="C141" s="40" t="n"/>
      <c r="D141" s="40" t="n"/>
      <c r="E141" s="40" t="n"/>
      <c r="F141" s="40" t="n"/>
      <c r="G141" s="55" t="str">
        <f>IF(F141="","",IFERROR(IF(INDEX(Project!$C$24:$C$27,MATCH(F141,Project!$B$24:$B$27,0))="","",INDEX(Project!$C$24:$C$27,MATCH(F141,Project!$B$24:$B$27,0))),""))</f>
        <v/>
      </c>
      <c r="H141" s="40" t="n"/>
      <c r="I141" s="40" t="n"/>
      <c r="J141" s="40" t="n"/>
      <c r="K141" s="40" t="n"/>
      <c r="L141" s="56" t="n"/>
      <c r="M141" s="40" t="n"/>
      <c r="N141" s="57" t="n"/>
      <c r="O141" s="35" t="str">
        <f>IF(OR(L141="",N141=""),"",L141*N141)</f>
        <v/>
      </c>
      <c r="P141" s="43" t="n"/>
      <c r="Q141" s="36" t="str">
        <f>IF(OR(O141="",P141=""),"",O141-P141)</f>
        <v/>
      </c>
      <c r="R141" s="40" t="n"/>
      <c r="S141" s="40" t="n"/>
      <c r="T141" s="58" t="n"/>
      <c r="U141" s="42" t="n"/>
      <c r="V141" s="55" t="str">
        <f>IF(OR(U141="",T141=""),"",U141-T141)</f>
        <v/>
      </c>
      <c r="W141" s="40" t="n"/>
      <c r="X141" s="42" t="n"/>
      <c r="Y141" s="40" t="n"/>
      <c r="Z141" s="32" t="str">
        <f>IF(C141="","",IF(OR(W141="Ordered",W141="Received",W141="Installed"),"Ordered",IF(AND(I141&lt;&gt;"",J141&lt;&gt;"",L141&lt;&gt;"",R141&lt;&gt;"",T141&lt;&gt;"",X141&lt;&gt;""),"READY","Missing: "&amp;_xlfn.TEXTJOIN(", ",TRUE,IF(I141="","model",""),IF(J141="","finish",""),IF(L141="","qty",""),IF(R141="","supplier",""),IF(T141="","lead time",""),IF(X141="","approval","")))))</f>
        <v/>
      </c>
      <c r="AA141" s="54" t="str">
        <f>IF(C141="","",IF(OR(W141="Ordered",W141="Received",W141="Installed"),"",IF(AND(G141&lt;&gt;"",X141="",G141&lt;TODAY()),"DECISION OVERDUE",IF(V141="","",IF(V141&lt;TODAY(),"ORDER OVERDUE",IF(V141-TODAY()&lt;=14,"ORDER SOON",""))))))</f>
        <v/>
      </c>
      <c r="AB141" s="35" t="str">
        <f>IF(Q141="","",IF(AND(X141="",Q141&gt;0),Q141,""))</f>
        <v/>
      </c>
      <c r="AC141" s="59" t="n"/>
      <c r="AD141" s="59" t="n"/>
      <c r="AE141" s="60" t="str">
        <f>IF(AND(C141&lt;&gt;"",B141='Client Sign-Off'!$D$7),COUNTIFS($B$6:B141,'Client Sign-Off'!$D$7,$C$6:C141,"?*"),"")</f>
        <v/>
      </c>
    </row>
    <row r="142" ht="18" customHeight="1">
      <c r="A142" s="54" t="str">
        <f>IF(C142="","",ROW()-5)</f>
        <v/>
      </c>
      <c r="B142" s="40" t="n"/>
      <c r="C142" s="40" t="n"/>
      <c r="D142" s="40" t="n"/>
      <c r="E142" s="40" t="n"/>
      <c r="F142" s="40" t="n"/>
      <c r="G142" s="55" t="str">
        <f>IF(F142="","",IFERROR(IF(INDEX(Project!$C$24:$C$27,MATCH(F142,Project!$B$24:$B$27,0))="","",INDEX(Project!$C$24:$C$27,MATCH(F142,Project!$B$24:$B$27,0))),""))</f>
        <v/>
      </c>
      <c r="H142" s="40" t="n"/>
      <c r="I142" s="40" t="n"/>
      <c r="J142" s="40" t="n"/>
      <c r="K142" s="40" t="n"/>
      <c r="L142" s="56" t="n"/>
      <c r="M142" s="40" t="n"/>
      <c r="N142" s="57" t="n"/>
      <c r="O142" s="35" t="str">
        <f>IF(OR(L142="",N142=""),"",L142*N142)</f>
        <v/>
      </c>
      <c r="P142" s="43" t="n"/>
      <c r="Q142" s="36" t="str">
        <f>IF(OR(O142="",P142=""),"",O142-P142)</f>
        <v/>
      </c>
      <c r="R142" s="40" t="n"/>
      <c r="S142" s="40" t="n"/>
      <c r="T142" s="58" t="n"/>
      <c r="U142" s="42" t="n"/>
      <c r="V142" s="55" t="str">
        <f>IF(OR(U142="",T142=""),"",U142-T142)</f>
        <v/>
      </c>
      <c r="W142" s="40" t="n"/>
      <c r="X142" s="42" t="n"/>
      <c r="Y142" s="40" t="n"/>
      <c r="Z142" s="32" t="str">
        <f>IF(C142="","",IF(OR(W142="Ordered",W142="Received",W142="Installed"),"Ordered",IF(AND(I142&lt;&gt;"",J142&lt;&gt;"",L142&lt;&gt;"",R142&lt;&gt;"",T142&lt;&gt;"",X142&lt;&gt;""),"READY","Missing: "&amp;_xlfn.TEXTJOIN(", ",TRUE,IF(I142="","model",""),IF(J142="","finish",""),IF(L142="","qty",""),IF(R142="","supplier",""),IF(T142="","lead time",""),IF(X142="","approval","")))))</f>
        <v/>
      </c>
      <c r="AA142" s="54" t="str">
        <f>IF(C142="","",IF(OR(W142="Ordered",W142="Received",W142="Installed"),"",IF(AND(G142&lt;&gt;"",X142="",G142&lt;TODAY()),"DECISION OVERDUE",IF(V142="","",IF(V142&lt;TODAY(),"ORDER OVERDUE",IF(V142-TODAY()&lt;=14,"ORDER SOON",""))))))</f>
        <v/>
      </c>
      <c r="AB142" s="35" t="str">
        <f>IF(Q142="","",IF(AND(X142="",Q142&gt;0),Q142,""))</f>
        <v/>
      </c>
      <c r="AC142" s="59" t="n"/>
      <c r="AD142" s="59" t="n"/>
      <c r="AE142" s="60" t="str">
        <f>IF(AND(C142&lt;&gt;"",B142='Client Sign-Off'!$D$7),COUNTIFS($B$6:B142,'Client Sign-Off'!$D$7,$C$6:C142,"?*"),"")</f>
        <v/>
      </c>
    </row>
    <row r="143" ht="18" customHeight="1">
      <c r="A143" s="54" t="str">
        <f>IF(C143="","",ROW()-5)</f>
        <v/>
      </c>
      <c r="B143" s="40" t="n"/>
      <c r="C143" s="40" t="n"/>
      <c r="D143" s="40" t="n"/>
      <c r="E143" s="40" t="n"/>
      <c r="F143" s="40" t="n"/>
      <c r="G143" s="55" t="str">
        <f>IF(F143="","",IFERROR(IF(INDEX(Project!$C$24:$C$27,MATCH(F143,Project!$B$24:$B$27,0))="","",INDEX(Project!$C$24:$C$27,MATCH(F143,Project!$B$24:$B$27,0))),""))</f>
        <v/>
      </c>
      <c r="H143" s="40" t="n"/>
      <c r="I143" s="40" t="n"/>
      <c r="J143" s="40" t="n"/>
      <c r="K143" s="40" t="n"/>
      <c r="L143" s="56" t="n"/>
      <c r="M143" s="40" t="n"/>
      <c r="N143" s="57" t="n"/>
      <c r="O143" s="35" t="str">
        <f>IF(OR(L143="",N143=""),"",L143*N143)</f>
        <v/>
      </c>
      <c r="P143" s="43" t="n"/>
      <c r="Q143" s="36" t="str">
        <f>IF(OR(O143="",P143=""),"",O143-P143)</f>
        <v/>
      </c>
      <c r="R143" s="40" t="n"/>
      <c r="S143" s="40" t="n"/>
      <c r="T143" s="58" t="n"/>
      <c r="U143" s="42" t="n"/>
      <c r="V143" s="55" t="str">
        <f>IF(OR(U143="",T143=""),"",U143-T143)</f>
        <v/>
      </c>
      <c r="W143" s="40" t="n"/>
      <c r="X143" s="42" t="n"/>
      <c r="Y143" s="40" t="n"/>
      <c r="Z143" s="32" t="str">
        <f>IF(C143="","",IF(OR(W143="Ordered",W143="Received",W143="Installed"),"Ordered",IF(AND(I143&lt;&gt;"",J143&lt;&gt;"",L143&lt;&gt;"",R143&lt;&gt;"",T143&lt;&gt;"",X143&lt;&gt;""),"READY","Missing: "&amp;_xlfn.TEXTJOIN(", ",TRUE,IF(I143="","model",""),IF(J143="","finish",""),IF(L143="","qty",""),IF(R143="","supplier",""),IF(T143="","lead time",""),IF(X143="","approval","")))))</f>
        <v/>
      </c>
      <c r="AA143" s="54" t="str">
        <f>IF(C143="","",IF(OR(W143="Ordered",W143="Received",W143="Installed"),"",IF(AND(G143&lt;&gt;"",X143="",G143&lt;TODAY()),"DECISION OVERDUE",IF(V143="","",IF(V143&lt;TODAY(),"ORDER OVERDUE",IF(V143-TODAY()&lt;=14,"ORDER SOON",""))))))</f>
        <v/>
      </c>
      <c r="AB143" s="35" t="str">
        <f>IF(Q143="","",IF(AND(X143="",Q143&gt;0),Q143,""))</f>
        <v/>
      </c>
      <c r="AC143" s="59" t="n"/>
      <c r="AD143" s="59" t="n"/>
      <c r="AE143" s="60" t="str">
        <f>IF(AND(C143&lt;&gt;"",B143='Client Sign-Off'!$D$7),COUNTIFS($B$6:B143,'Client Sign-Off'!$D$7,$C$6:C143,"?*"),"")</f>
        <v/>
      </c>
    </row>
    <row r="144" ht="18" customHeight="1">
      <c r="A144" s="54" t="str">
        <f>IF(C144="","",ROW()-5)</f>
        <v/>
      </c>
      <c r="B144" s="40" t="n"/>
      <c r="C144" s="40" t="n"/>
      <c r="D144" s="40" t="n"/>
      <c r="E144" s="40" t="n"/>
      <c r="F144" s="40" t="n"/>
      <c r="G144" s="55" t="str">
        <f>IF(F144="","",IFERROR(IF(INDEX(Project!$C$24:$C$27,MATCH(F144,Project!$B$24:$B$27,0))="","",INDEX(Project!$C$24:$C$27,MATCH(F144,Project!$B$24:$B$27,0))),""))</f>
        <v/>
      </c>
      <c r="H144" s="40" t="n"/>
      <c r="I144" s="40" t="n"/>
      <c r="J144" s="40" t="n"/>
      <c r="K144" s="40" t="n"/>
      <c r="L144" s="56" t="n"/>
      <c r="M144" s="40" t="n"/>
      <c r="N144" s="57" t="n"/>
      <c r="O144" s="35" t="str">
        <f>IF(OR(L144="",N144=""),"",L144*N144)</f>
        <v/>
      </c>
      <c r="P144" s="43" t="n"/>
      <c r="Q144" s="36" t="str">
        <f>IF(OR(O144="",P144=""),"",O144-P144)</f>
        <v/>
      </c>
      <c r="R144" s="40" t="n"/>
      <c r="S144" s="40" t="n"/>
      <c r="T144" s="58" t="n"/>
      <c r="U144" s="42" t="n"/>
      <c r="V144" s="55" t="str">
        <f>IF(OR(U144="",T144=""),"",U144-T144)</f>
        <v/>
      </c>
      <c r="W144" s="40" t="n"/>
      <c r="X144" s="42" t="n"/>
      <c r="Y144" s="40" t="n"/>
      <c r="Z144" s="32" t="str">
        <f>IF(C144="","",IF(OR(W144="Ordered",W144="Received",W144="Installed"),"Ordered",IF(AND(I144&lt;&gt;"",J144&lt;&gt;"",L144&lt;&gt;"",R144&lt;&gt;"",T144&lt;&gt;"",X144&lt;&gt;""),"READY","Missing: "&amp;_xlfn.TEXTJOIN(", ",TRUE,IF(I144="","model",""),IF(J144="","finish",""),IF(L144="","qty",""),IF(R144="","supplier",""),IF(T144="","lead time",""),IF(X144="","approval","")))))</f>
        <v/>
      </c>
      <c r="AA144" s="54" t="str">
        <f>IF(C144="","",IF(OR(W144="Ordered",W144="Received",W144="Installed"),"",IF(AND(G144&lt;&gt;"",X144="",G144&lt;TODAY()),"DECISION OVERDUE",IF(V144="","",IF(V144&lt;TODAY(),"ORDER OVERDUE",IF(V144-TODAY()&lt;=14,"ORDER SOON",""))))))</f>
        <v/>
      </c>
      <c r="AB144" s="35" t="str">
        <f>IF(Q144="","",IF(AND(X144="",Q144&gt;0),Q144,""))</f>
        <v/>
      </c>
      <c r="AC144" s="59" t="n"/>
      <c r="AD144" s="59" t="n"/>
      <c r="AE144" s="60" t="str">
        <f>IF(AND(C144&lt;&gt;"",B144='Client Sign-Off'!$D$7),COUNTIFS($B$6:B144,'Client Sign-Off'!$D$7,$C$6:C144,"?*"),"")</f>
        <v/>
      </c>
    </row>
    <row r="145" ht="18" customHeight="1">
      <c r="A145" s="54" t="str">
        <f>IF(C145="","",ROW()-5)</f>
        <v/>
      </c>
      <c r="B145" s="40" t="n"/>
      <c r="C145" s="40" t="n"/>
      <c r="D145" s="40" t="n"/>
      <c r="E145" s="40" t="n"/>
      <c r="F145" s="40" t="n"/>
      <c r="G145" s="55" t="str">
        <f>IF(F145="","",IFERROR(IF(INDEX(Project!$C$24:$C$27,MATCH(F145,Project!$B$24:$B$27,0))="","",INDEX(Project!$C$24:$C$27,MATCH(F145,Project!$B$24:$B$27,0))),""))</f>
        <v/>
      </c>
      <c r="H145" s="40" t="n"/>
      <c r="I145" s="40" t="n"/>
      <c r="J145" s="40" t="n"/>
      <c r="K145" s="40" t="n"/>
      <c r="L145" s="56" t="n"/>
      <c r="M145" s="40" t="n"/>
      <c r="N145" s="57" t="n"/>
      <c r="O145" s="35" t="str">
        <f>IF(OR(L145="",N145=""),"",L145*N145)</f>
        <v/>
      </c>
      <c r="P145" s="43" t="n"/>
      <c r="Q145" s="36" t="str">
        <f>IF(OR(O145="",P145=""),"",O145-P145)</f>
        <v/>
      </c>
      <c r="R145" s="40" t="n"/>
      <c r="S145" s="40" t="n"/>
      <c r="T145" s="58" t="n"/>
      <c r="U145" s="42" t="n"/>
      <c r="V145" s="55" t="str">
        <f>IF(OR(U145="",T145=""),"",U145-T145)</f>
        <v/>
      </c>
      <c r="W145" s="40" t="n"/>
      <c r="X145" s="42" t="n"/>
      <c r="Y145" s="40" t="n"/>
      <c r="Z145" s="32" t="str">
        <f>IF(C145="","",IF(OR(W145="Ordered",W145="Received",W145="Installed"),"Ordered",IF(AND(I145&lt;&gt;"",J145&lt;&gt;"",L145&lt;&gt;"",R145&lt;&gt;"",T145&lt;&gt;"",X145&lt;&gt;""),"READY","Missing: "&amp;_xlfn.TEXTJOIN(", ",TRUE,IF(I145="","model",""),IF(J145="","finish",""),IF(L145="","qty",""),IF(R145="","supplier",""),IF(T145="","lead time",""),IF(X145="","approval","")))))</f>
        <v/>
      </c>
      <c r="AA145" s="54" t="str">
        <f>IF(C145="","",IF(OR(W145="Ordered",W145="Received",W145="Installed"),"",IF(AND(G145&lt;&gt;"",X145="",G145&lt;TODAY()),"DECISION OVERDUE",IF(V145="","",IF(V145&lt;TODAY(),"ORDER OVERDUE",IF(V145-TODAY()&lt;=14,"ORDER SOON",""))))))</f>
        <v/>
      </c>
      <c r="AB145" s="35" t="str">
        <f>IF(Q145="","",IF(AND(X145="",Q145&gt;0),Q145,""))</f>
        <v/>
      </c>
      <c r="AC145" s="59" t="n"/>
      <c r="AD145" s="59" t="n"/>
      <c r="AE145" s="60" t="str">
        <f>IF(AND(C145&lt;&gt;"",B145='Client Sign-Off'!$D$7),COUNTIFS($B$6:B145,'Client Sign-Off'!$D$7,$C$6:C145,"?*"),"")</f>
        <v/>
      </c>
    </row>
    <row r="146" ht="18" customHeight="1">
      <c r="A146" s="54" t="str">
        <f>IF(C146="","",ROW()-5)</f>
        <v/>
      </c>
      <c r="B146" s="40" t="n"/>
      <c r="C146" s="40" t="n"/>
      <c r="D146" s="40" t="n"/>
      <c r="E146" s="40" t="n"/>
      <c r="F146" s="40" t="n"/>
      <c r="G146" s="55" t="str">
        <f>IF(F146="","",IFERROR(IF(INDEX(Project!$C$24:$C$27,MATCH(F146,Project!$B$24:$B$27,0))="","",INDEX(Project!$C$24:$C$27,MATCH(F146,Project!$B$24:$B$27,0))),""))</f>
        <v/>
      </c>
      <c r="H146" s="40" t="n"/>
      <c r="I146" s="40" t="n"/>
      <c r="J146" s="40" t="n"/>
      <c r="K146" s="40" t="n"/>
      <c r="L146" s="56" t="n"/>
      <c r="M146" s="40" t="n"/>
      <c r="N146" s="57" t="n"/>
      <c r="O146" s="35" t="str">
        <f>IF(OR(L146="",N146=""),"",L146*N146)</f>
        <v/>
      </c>
      <c r="P146" s="43" t="n"/>
      <c r="Q146" s="36" t="str">
        <f>IF(OR(O146="",P146=""),"",O146-P146)</f>
        <v/>
      </c>
      <c r="R146" s="40" t="n"/>
      <c r="S146" s="40" t="n"/>
      <c r="T146" s="58" t="n"/>
      <c r="U146" s="42" t="n"/>
      <c r="V146" s="55" t="str">
        <f>IF(OR(U146="",T146=""),"",U146-T146)</f>
        <v/>
      </c>
      <c r="W146" s="40" t="n"/>
      <c r="X146" s="42" t="n"/>
      <c r="Y146" s="40" t="n"/>
      <c r="Z146" s="32" t="str">
        <f>IF(C146="","",IF(OR(W146="Ordered",W146="Received",W146="Installed"),"Ordered",IF(AND(I146&lt;&gt;"",J146&lt;&gt;"",L146&lt;&gt;"",R146&lt;&gt;"",T146&lt;&gt;"",X146&lt;&gt;""),"READY","Missing: "&amp;_xlfn.TEXTJOIN(", ",TRUE,IF(I146="","model",""),IF(J146="","finish",""),IF(L146="","qty",""),IF(R146="","supplier",""),IF(T146="","lead time",""),IF(X146="","approval","")))))</f>
        <v/>
      </c>
      <c r="AA146" s="54" t="str">
        <f>IF(C146="","",IF(OR(W146="Ordered",W146="Received",W146="Installed"),"",IF(AND(G146&lt;&gt;"",X146="",G146&lt;TODAY()),"DECISION OVERDUE",IF(V146="","",IF(V146&lt;TODAY(),"ORDER OVERDUE",IF(V146-TODAY()&lt;=14,"ORDER SOON",""))))))</f>
        <v/>
      </c>
      <c r="AB146" s="35" t="str">
        <f>IF(Q146="","",IF(AND(X146="",Q146&gt;0),Q146,""))</f>
        <v/>
      </c>
      <c r="AC146" s="59" t="n"/>
      <c r="AD146" s="59" t="n"/>
      <c r="AE146" s="60" t="str">
        <f>IF(AND(C146&lt;&gt;"",B146='Client Sign-Off'!$D$7),COUNTIFS($B$6:B146,'Client Sign-Off'!$D$7,$C$6:C146,"?*"),"")</f>
        <v/>
      </c>
    </row>
    <row r="147" ht="18" customHeight="1">
      <c r="A147" s="54" t="str">
        <f>IF(C147="","",ROW()-5)</f>
        <v/>
      </c>
      <c r="B147" s="40" t="n"/>
      <c r="C147" s="40" t="n"/>
      <c r="D147" s="40" t="n"/>
      <c r="E147" s="40" t="n"/>
      <c r="F147" s="40" t="n"/>
      <c r="G147" s="55" t="str">
        <f>IF(F147="","",IFERROR(IF(INDEX(Project!$C$24:$C$27,MATCH(F147,Project!$B$24:$B$27,0))="","",INDEX(Project!$C$24:$C$27,MATCH(F147,Project!$B$24:$B$27,0))),""))</f>
        <v/>
      </c>
      <c r="H147" s="40" t="n"/>
      <c r="I147" s="40" t="n"/>
      <c r="J147" s="40" t="n"/>
      <c r="K147" s="40" t="n"/>
      <c r="L147" s="56" t="n"/>
      <c r="M147" s="40" t="n"/>
      <c r="N147" s="57" t="n"/>
      <c r="O147" s="35" t="str">
        <f>IF(OR(L147="",N147=""),"",L147*N147)</f>
        <v/>
      </c>
      <c r="P147" s="43" t="n"/>
      <c r="Q147" s="36" t="str">
        <f>IF(OR(O147="",P147=""),"",O147-P147)</f>
        <v/>
      </c>
      <c r="R147" s="40" t="n"/>
      <c r="S147" s="40" t="n"/>
      <c r="T147" s="58" t="n"/>
      <c r="U147" s="42" t="n"/>
      <c r="V147" s="55" t="str">
        <f>IF(OR(U147="",T147=""),"",U147-T147)</f>
        <v/>
      </c>
      <c r="W147" s="40" t="n"/>
      <c r="X147" s="42" t="n"/>
      <c r="Y147" s="40" t="n"/>
      <c r="Z147" s="32" t="str">
        <f>IF(C147="","",IF(OR(W147="Ordered",W147="Received",W147="Installed"),"Ordered",IF(AND(I147&lt;&gt;"",J147&lt;&gt;"",L147&lt;&gt;"",R147&lt;&gt;"",T147&lt;&gt;"",X147&lt;&gt;""),"READY","Missing: "&amp;_xlfn.TEXTJOIN(", ",TRUE,IF(I147="","model",""),IF(J147="","finish",""),IF(L147="","qty",""),IF(R147="","supplier",""),IF(T147="","lead time",""),IF(X147="","approval","")))))</f>
        <v/>
      </c>
      <c r="AA147" s="54" t="str">
        <f>IF(C147="","",IF(OR(W147="Ordered",W147="Received",W147="Installed"),"",IF(AND(G147&lt;&gt;"",X147="",G147&lt;TODAY()),"DECISION OVERDUE",IF(V147="","",IF(V147&lt;TODAY(),"ORDER OVERDUE",IF(V147-TODAY()&lt;=14,"ORDER SOON",""))))))</f>
        <v/>
      </c>
      <c r="AB147" s="35" t="str">
        <f>IF(Q147="","",IF(AND(X147="",Q147&gt;0),Q147,""))</f>
        <v/>
      </c>
      <c r="AC147" s="59" t="n"/>
      <c r="AD147" s="59" t="n"/>
      <c r="AE147" s="60" t="str">
        <f>IF(AND(C147&lt;&gt;"",B147='Client Sign-Off'!$D$7),COUNTIFS($B$6:B147,'Client Sign-Off'!$D$7,$C$6:C147,"?*"),"")</f>
        <v/>
      </c>
    </row>
    <row r="148" ht="18" customHeight="1">
      <c r="A148" s="54" t="str">
        <f>IF(C148="","",ROW()-5)</f>
        <v/>
      </c>
      <c r="B148" s="40" t="n"/>
      <c r="C148" s="40" t="n"/>
      <c r="D148" s="40" t="n"/>
      <c r="E148" s="40" t="n"/>
      <c r="F148" s="40" t="n"/>
      <c r="G148" s="55" t="str">
        <f>IF(F148="","",IFERROR(IF(INDEX(Project!$C$24:$C$27,MATCH(F148,Project!$B$24:$B$27,0))="","",INDEX(Project!$C$24:$C$27,MATCH(F148,Project!$B$24:$B$27,0))),""))</f>
        <v/>
      </c>
      <c r="H148" s="40" t="n"/>
      <c r="I148" s="40" t="n"/>
      <c r="J148" s="40" t="n"/>
      <c r="K148" s="40" t="n"/>
      <c r="L148" s="56" t="n"/>
      <c r="M148" s="40" t="n"/>
      <c r="N148" s="57" t="n"/>
      <c r="O148" s="35" t="str">
        <f>IF(OR(L148="",N148=""),"",L148*N148)</f>
        <v/>
      </c>
      <c r="P148" s="43" t="n"/>
      <c r="Q148" s="36" t="str">
        <f>IF(OR(O148="",P148=""),"",O148-P148)</f>
        <v/>
      </c>
      <c r="R148" s="40" t="n"/>
      <c r="S148" s="40" t="n"/>
      <c r="T148" s="58" t="n"/>
      <c r="U148" s="42" t="n"/>
      <c r="V148" s="55" t="str">
        <f>IF(OR(U148="",T148=""),"",U148-T148)</f>
        <v/>
      </c>
      <c r="W148" s="40" t="n"/>
      <c r="X148" s="42" t="n"/>
      <c r="Y148" s="40" t="n"/>
      <c r="Z148" s="32" t="str">
        <f>IF(C148="","",IF(OR(W148="Ordered",W148="Received",W148="Installed"),"Ordered",IF(AND(I148&lt;&gt;"",J148&lt;&gt;"",L148&lt;&gt;"",R148&lt;&gt;"",T148&lt;&gt;"",X148&lt;&gt;""),"READY","Missing: "&amp;_xlfn.TEXTJOIN(", ",TRUE,IF(I148="","model",""),IF(J148="","finish",""),IF(L148="","qty",""),IF(R148="","supplier",""),IF(T148="","lead time",""),IF(X148="","approval","")))))</f>
        <v/>
      </c>
      <c r="AA148" s="54" t="str">
        <f>IF(C148="","",IF(OR(W148="Ordered",W148="Received",W148="Installed"),"",IF(AND(G148&lt;&gt;"",X148="",G148&lt;TODAY()),"DECISION OVERDUE",IF(V148="","",IF(V148&lt;TODAY(),"ORDER OVERDUE",IF(V148-TODAY()&lt;=14,"ORDER SOON",""))))))</f>
        <v/>
      </c>
      <c r="AB148" s="35" t="str">
        <f>IF(Q148="","",IF(AND(X148="",Q148&gt;0),Q148,""))</f>
        <v/>
      </c>
      <c r="AC148" s="59" t="n"/>
      <c r="AD148" s="59" t="n"/>
      <c r="AE148" s="60" t="str">
        <f>IF(AND(C148&lt;&gt;"",B148='Client Sign-Off'!$D$7),COUNTIFS($B$6:B148,'Client Sign-Off'!$D$7,$C$6:C148,"?*"),"")</f>
        <v/>
      </c>
    </row>
    <row r="149" ht="18" customHeight="1">
      <c r="A149" s="54" t="str">
        <f>IF(C149="","",ROW()-5)</f>
        <v/>
      </c>
      <c r="B149" s="40" t="n"/>
      <c r="C149" s="40" t="n"/>
      <c r="D149" s="40" t="n"/>
      <c r="E149" s="40" t="n"/>
      <c r="F149" s="40" t="n"/>
      <c r="G149" s="55" t="str">
        <f>IF(F149="","",IFERROR(IF(INDEX(Project!$C$24:$C$27,MATCH(F149,Project!$B$24:$B$27,0))="","",INDEX(Project!$C$24:$C$27,MATCH(F149,Project!$B$24:$B$27,0))),""))</f>
        <v/>
      </c>
      <c r="H149" s="40" t="n"/>
      <c r="I149" s="40" t="n"/>
      <c r="J149" s="40" t="n"/>
      <c r="K149" s="40" t="n"/>
      <c r="L149" s="56" t="n"/>
      <c r="M149" s="40" t="n"/>
      <c r="N149" s="57" t="n"/>
      <c r="O149" s="35" t="str">
        <f>IF(OR(L149="",N149=""),"",L149*N149)</f>
        <v/>
      </c>
      <c r="P149" s="43" t="n"/>
      <c r="Q149" s="36" t="str">
        <f>IF(OR(O149="",P149=""),"",O149-P149)</f>
        <v/>
      </c>
      <c r="R149" s="40" t="n"/>
      <c r="S149" s="40" t="n"/>
      <c r="T149" s="58" t="n"/>
      <c r="U149" s="42" t="n"/>
      <c r="V149" s="55" t="str">
        <f>IF(OR(U149="",T149=""),"",U149-T149)</f>
        <v/>
      </c>
      <c r="W149" s="40" t="n"/>
      <c r="X149" s="42" t="n"/>
      <c r="Y149" s="40" t="n"/>
      <c r="Z149" s="32" t="str">
        <f>IF(C149="","",IF(OR(W149="Ordered",W149="Received",W149="Installed"),"Ordered",IF(AND(I149&lt;&gt;"",J149&lt;&gt;"",L149&lt;&gt;"",R149&lt;&gt;"",T149&lt;&gt;"",X149&lt;&gt;""),"READY","Missing: "&amp;_xlfn.TEXTJOIN(", ",TRUE,IF(I149="","model",""),IF(J149="","finish",""),IF(L149="","qty",""),IF(R149="","supplier",""),IF(T149="","lead time",""),IF(X149="","approval","")))))</f>
        <v/>
      </c>
      <c r="AA149" s="54" t="str">
        <f>IF(C149="","",IF(OR(W149="Ordered",W149="Received",W149="Installed"),"",IF(AND(G149&lt;&gt;"",X149="",G149&lt;TODAY()),"DECISION OVERDUE",IF(V149="","",IF(V149&lt;TODAY(),"ORDER OVERDUE",IF(V149-TODAY()&lt;=14,"ORDER SOON",""))))))</f>
        <v/>
      </c>
      <c r="AB149" s="35" t="str">
        <f>IF(Q149="","",IF(AND(X149="",Q149&gt;0),Q149,""))</f>
        <v/>
      </c>
      <c r="AC149" s="59" t="n"/>
      <c r="AD149" s="59" t="n"/>
      <c r="AE149" s="60" t="str">
        <f>IF(AND(C149&lt;&gt;"",B149='Client Sign-Off'!$D$7),COUNTIFS($B$6:B149,'Client Sign-Off'!$D$7,$C$6:C149,"?*"),"")</f>
        <v/>
      </c>
    </row>
    <row r="150" ht="18" customHeight="1">
      <c r="A150" s="54" t="str">
        <f>IF(C150="","",ROW()-5)</f>
        <v/>
      </c>
      <c r="B150" s="40" t="n"/>
      <c r="C150" s="40" t="n"/>
      <c r="D150" s="40" t="n"/>
      <c r="E150" s="40" t="n"/>
      <c r="F150" s="40" t="n"/>
      <c r="G150" s="55" t="str">
        <f>IF(F150="","",IFERROR(IF(INDEX(Project!$C$24:$C$27,MATCH(F150,Project!$B$24:$B$27,0))="","",INDEX(Project!$C$24:$C$27,MATCH(F150,Project!$B$24:$B$27,0))),""))</f>
        <v/>
      </c>
      <c r="H150" s="40" t="n"/>
      <c r="I150" s="40" t="n"/>
      <c r="J150" s="40" t="n"/>
      <c r="K150" s="40" t="n"/>
      <c r="L150" s="56" t="n"/>
      <c r="M150" s="40" t="n"/>
      <c r="N150" s="57" t="n"/>
      <c r="O150" s="35" t="str">
        <f>IF(OR(L150="",N150=""),"",L150*N150)</f>
        <v/>
      </c>
      <c r="P150" s="43" t="n"/>
      <c r="Q150" s="36" t="str">
        <f>IF(OR(O150="",P150=""),"",O150-P150)</f>
        <v/>
      </c>
      <c r="R150" s="40" t="n"/>
      <c r="S150" s="40" t="n"/>
      <c r="T150" s="58" t="n"/>
      <c r="U150" s="42" t="n"/>
      <c r="V150" s="55" t="str">
        <f>IF(OR(U150="",T150=""),"",U150-T150)</f>
        <v/>
      </c>
      <c r="W150" s="40" t="n"/>
      <c r="X150" s="42" t="n"/>
      <c r="Y150" s="40" t="n"/>
      <c r="Z150" s="32" t="str">
        <f>IF(C150="","",IF(OR(W150="Ordered",W150="Received",W150="Installed"),"Ordered",IF(AND(I150&lt;&gt;"",J150&lt;&gt;"",L150&lt;&gt;"",R150&lt;&gt;"",T150&lt;&gt;"",X150&lt;&gt;""),"READY","Missing: "&amp;_xlfn.TEXTJOIN(", ",TRUE,IF(I150="","model",""),IF(J150="","finish",""),IF(L150="","qty",""),IF(R150="","supplier",""),IF(T150="","lead time",""),IF(X150="","approval","")))))</f>
        <v/>
      </c>
      <c r="AA150" s="54" t="str">
        <f>IF(C150="","",IF(OR(W150="Ordered",W150="Received",W150="Installed"),"",IF(AND(G150&lt;&gt;"",X150="",G150&lt;TODAY()),"DECISION OVERDUE",IF(V150="","",IF(V150&lt;TODAY(),"ORDER OVERDUE",IF(V150-TODAY()&lt;=14,"ORDER SOON",""))))))</f>
        <v/>
      </c>
      <c r="AB150" s="35" t="str">
        <f>IF(Q150="","",IF(AND(X150="",Q150&gt;0),Q150,""))</f>
        <v/>
      </c>
      <c r="AC150" s="59" t="n"/>
      <c r="AD150" s="59" t="n"/>
      <c r="AE150" s="60" t="str">
        <f>IF(AND(C150&lt;&gt;"",B150='Client Sign-Off'!$D$7),COUNTIFS($B$6:B150,'Client Sign-Off'!$D$7,$C$6:C150,"?*"),"")</f>
        <v/>
      </c>
    </row>
    <row r="151" ht="18" customHeight="1">
      <c r="A151" s="54" t="str">
        <f>IF(C151="","",ROW()-5)</f>
        <v/>
      </c>
      <c r="B151" s="40" t="n"/>
      <c r="C151" s="40" t="n"/>
      <c r="D151" s="40" t="n"/>
      <c r="E151" s="40" t="n"/>
      <c r="F151" s="40" t="n"/>
      <c r="G151" s="55" t="str">
        <f>IF(F151="","",IFERROR(IF(INDEX(Project!$C$24:$C$27,MATCH(F151,Project!$B$24:$B$27,0))="","",INDEX(Project!$C$24:$C$27,MATCH(F151,Project!$B$24:$B$27,0))),""))</f>
        <v/>
      </c>
      <c r="H151" s="40" t="n"/>
      <c r="I151" s="40" t="n"/>
      <c r="J151" s="40" t="n"/>
      <c r="K151" s="40" t="n"/>
      <c r="L151" s="56" t="n"/>
      <c r="M151" s="40" t="n"/>
      <c r="N151" s="57" t="n"/>
      <c r="O151" s="35" t="str">
        <f>IF(OR(L151="",N151=""),"",L151*N151)</f>
        <v/>
      </c>
      <c r="P151" s="43" t="n"/>
      <c r="Q151" s="36" t="str">
        <f>IF(OR(O151="",P151=""),"",O151-P151)</f>
        <v/>
      </c>
      <c r="R151" s="40" t="n"/>
      <c r="S151" s="40" t="n"/>
      <c r="T151" s="58" t="n"/>
      <c r="U151" s="42" t="n"/>
      <c r="V151" s="55" t="str">
        <f>IF(OR(U151="",T151=""),"",U151-T151)</f>
        <v/>
      </c>
      <c r="W151" s="40" t="n"/>
      <c r="X151" s="42" t="n"/>
      <c r="Y151" s="40" t="n"/>
      <c r="Z151" s="32" t="str">
        <f>IF(C151="","",IF(OR(W151="Ordered",W151="Received",W151="Installed"),"Ordered",IF(AND(I151&lt;&gt;"",J151&lt;&gt;"",L151&lt;&gt;"",R151&lt;&gt;"",T151&lt;&gt;"",X151&lt;&gt;""),"READY","Missing: "&amp;_xlfn.TEXTJOIN(", ",TRUE,IF(I151="","model",""),IF(J151="","finish",""),IF(L151="","qty",""),IF(R151="","supplier",""),IF(T151="","lead time",""),IF(X151="","approval","")))))</f>
        <v/>
      </c>
      <c r="AA151" s="54" t="str">
        <f>IF(C151="","",IF(OR(W151="Ordered",W151="Received",W151="Installed"),"",IF(AND(G151&lt;&gt;"",X151="",G151&lt;TODAY()),"DECISION OVERDUE",IF(V151="","",IF(V151&lt;TODAY(),"ORDER OVERDUE",IF(V151-TODAY()&lt;=14,"ORDER SOON",""))))))</f>
        <v/>
      </c>
      <c r="AB151" s="35" t="str">
        <f>IF(Q151="","",IF(AND(X151="",Q151&gt;0),Q151,""))</f>
        <v/>
      </c>
      <c r="AC151" s="59" t="n"/>
      <c r="AD151" s="59" t="n"/>
      <c r="AE151" s="60" t="str">
        <f>IF(AND(C151&lt;&gt;"",B151='Client Sign-Off'!$D$7),COUNTIFS($B$6:B151,'Client Sign-Off'!$D$7,$C$6:C151,"?*"),"")</f>
        <v/>
      </c>
    </row>
    <row r="152" ht="18" customHeight="1">
      <c r="A152" s="54" t="str">
        <f>IF(C152="","",ROW()-5)</f>
        <v/>
      </c>
      <c r="B152" s="40" t="n"/>
      <c r="C152" s="40" t="n"/>
      <c r="D152" s="40" t="n"/>
      <c r="E152" s="40" t="n"/>
      <c r="F152" s="40" t="n"/>
      <c r="G152" s="55" t="str">
        <f>IF(F152="","",IFERROR(IF(INDEX(Project!$C$24:$C$27,MATCH(F152,Project!$B$24:$B$27,0))="","",INDEX(Project!$C$24:$C$27,MATCH(F152,Project!$B$24:$B$27,0))),""))</f>
        <v/>
      </c>
      <c r="H152" s="40" t="n"/>
      <c r="I152" s="40" t="n"/>
      <c r="J152" s="40" t="n"/>
      <c r="K152" s="40" t="n"/>
      <c r="L152" s="56" t="n"/>
      <c r="M152" s="40" t="n"/>
      <c r="N152" s="57" t="n"/>
      <c r="O152" s="35" t="str">
        <f>IF(OR(L152="",N152=""),"",L152*N152)</f>
        <v/>
      </c>
      <c r="P152" s="43" t="n"/>
      <c r="Q152" s="36" t="str">
        <f>IF(OR(O152="",P152=""),"",O152-P152)</f>
        <v/>
      </c>
      <c r="R152" s="40" t="n"/>
      <c r="S152" s="40" t="n"/>
      <c r="T152" s="58" t="n"/>
      <c r="U152" s="42" t="n"/>
      <c r="V152" s="55" t="str">
        <f>IF(OR(U152="",T152=""),"",U152-T152)</f>
        <v/>
      </c>
      <c r="W152" s="40" t="n"/>
      <c r="X152" s="42" t="n"/>
      <c r="Y152" s="40" t="n"/>
      <c r="Z152" s="32" t="str">
        <f>IF(C152="","",IF(OR(W152="Ordered",W152="Received",W152="Installed"),"Ordered",IF(AND(I152&lt;&gt;"",J152&lt;&gt;"",L152&lt;&gt;"",R152&lt;&gt;"",T152&lt;&gt;"",X152&lt;&gt;""),"READY","Missing: "&amp;_xlfn.TEXTJOIN(", ",TRUE,IF(I152="","model",""),IF(J152="","finish",""),IF(L152="","qty",""),IF(R152="","supplier",""),IF(T152="","lead time",""),IF(X152="","approval","")))))</f>
        <v/>
      </c>
      <c r="AA152" s="54" t="str">
        <f>IF(C152="","",IF(OR(W152="Ordered",W152="Received",W152="Installed"),"",IF(AND(G152&lt;&gt;"",X152="",G152&lt;TODAY()),"DECISION OVERDUE",IF(V152="","",IF(V152&lt;TODAY(),"ORDER OVERDUE",IF(V152-TODAY()&lt;=14,"ORDER SOON",""))))))</f>
        <v/>
      </c>
      <c r="AB152" s="35" t="str">
        <f>IF(Q152="","",IF(AND(X152="",Q152&gt;0),Q152,""))</f>
        <v/>
      </c>
      <c r="AC152" s="59" t="n"/>
      <c r="AD152" s="59" t="n"/>
      <c r="AE152" s="60" t="str">
        <f>IF(AND(C152&lt;&gt;"",B152='Client Sign-Off'!$D$7),COUNTIFS($B$6:B152,'Client Sign-Off'!$D$7,$C$6:C152,"?*"),"")</f>
        <v/>
      </c>
    </row>
    <row r="153" ht="18" customHeight="1">
      <c r="A153" s="54" t="str">
        <f>IF(C153="","",ROW()-5)</f>
        <v/>
      </c>
      <c r="B153" s="40" t="n"/>
      <c r="C153" s="40" t="n"/>
      <c r="D153" s="40" t="n"/>
      <c r="E153" s="40" t="n"/>
      <c r="F153" s="40" t="n"/>
      <c r="G153" s="55" t="str">
        <f>IF(F153="","",IFERROR(IF(INDEX(Project!$C$24:$C$27,MATCH(F153,Project!$B$24:$B$27,0))="","",INDEX(Project!$C$24:$C$27,MATCH(F153,Project!$B$24:$B$27,0))),""))</f>
        <v/>
      </c>
      <c r="H153" s="40" t="n"/>
      <c r="I153" s="40" t="n"/>
      <c r="J153" s="40" t="n"/>
      <c r="K153" s="40" t="n"/>
      <c r="L153" s="56" t="n"/>
      <c r="M153" s="40" t="n"/>
      <c r="N153" s="57" t="n"/>
      <c r="O153" s="35" t="str">
        <f>IF(OR(L153="",N153=""),"",L153*N153)</f>
        <v/>
      </c>
      <c r="P153" s="43" t="n"/>
      <c r="Q153" s="36" t="str">
        <f>IF(OR(O153="",P153=""),"",O153-P153)</f>
        <v/>
      </c>
      <c r="R153" s="40" t="n"/>
      <c r="S153" s="40" t="n"/>
      <c r="T153" s="58" t="n"/>
      <c r="U153" s="42" t="n"/>
      <c r="V153" s="55" t="str">
        <f>IF(OR(U153="",T153=""),"",U153-T153)</f>
        <v/>
      </c>
      <c r="W153" s="40" t="n"/>
      <c r="X153" s="42" t="n"/>
      <c r="Y153" s="40" t="n"/>
      <c r="Z153" s="32" t="str">
        <f>IF(C153="","",IF(OR(W153="Ordered",W153="Received",W153="Installed"),"Ordered",IF(AND(I153&lt;&gt;"",J153&lt;&gt;"",L153&lt;&gt;"",R153&lt;&gt;"",T153&lt;&gt;"",X153&lt;&gt;""),"READY","Missing: "&amp;_xlfn.TEXTJOIN(", ",TRUE,IF(I153="","model",""),IF(J153="","finish",""),IF(L153="","qty",""),IF(R153="","supplier",""),IF(T153="","lead time",""),IF(X153="","approval","")))))</f>
        <v/>
      </c>
      <c r="AA153" s="54" t="str">
        <f>IF(C153="","",IF(OR(W153="Ordered",W153="Received",W153="Installed"),"",IF(AND(G153&lt;&gt;"",X153="",G153&lt;TODAY()),"DECISION OVERDUE",IF(V153="","",IF(V153&lt;TODAY(),"ORDER OVERDUE",IF(V153-TODAY()&lt;=14,"ORDER SOON",""))))))</f>
        <v/>
      </c>
      <c r="AB153" s="35" t="str">
        <f>IF(Q153="","",IF(AND(X153="",Q153&gt;0),Q153,""))</f>
        <v/>
      </c>
      <c r="AC153" s="59" t="n"/>
      <c r="AD153" s="59" t="n"/>
      <c r="AE153" s="60" t="str">
        <f>IF(AND(C153&lt;&gt;"",B153='Client Sign-Off'!$D$7),COUNTIFS($B$6:B153,'Client Sign-Off'!$D$7,$C$6:C153,"?*"),"")</f>
        <v/>
      </c>
    </row>
    <row r="154" ht="18" customHeight="1">
      <c r="A154" s="54" t="str">
        <f>IF(C154="","",ROW()-5)</f>
        <v/>
      </c>
      <c r="B154" s="40" t="n"/>
      <c r="C154" s="40" t="n"/>
      <c r="D154" s="40" t="n"/>
      <c r="E154" s="40" t="n"/>
      <c r="F154" s="40" t="n"/>
      <c r="G154" s="55" t="str">
        <f>IF(F154="","",IFERROR(IF(INDEX(Project!$C$24:$C$27,MATCH(F154,Project!$B$24:$B$27,0))="","",INDEX(Project!$C$24:$C$27,MATCH(F154,Project!$B$24:$B$27,0))),""))</f>
        <v/>
      </c>
      <c r="H154" s="40" t="n"/>
      <c r="I154" s="40" t="n"/>
      <c r="J154" s="40" t="n"/>
      <c r="K154" s="40" t="n"/>
      <c r="L154" s="56" t="n"/>
      <c r="M154" s="40" t="n"/>
      <c r="N154" s="57" t="n"/>
      <c r="O154" s="35" t="str">
        <f>IF(OR(L154="",N154=""),"",L154*N154)</f>
        <v/>
      </c>
      <c r="P154" s="43" t="n"/>
      <c r="Q154" s="36" t="str">
        <f>IF(OR(O154="",P154=""),"",O154-P154)</f>
        <v/>
      </c>
      <c r="R154" s="40" t="n"/>
      <c r="S154" s="40" t="n"/>
      <c r="T154" s="58" t="n"/>
      <c r="U154" s="42" t="n"/>
      <c r="V154" s="55" t="str">
        <f>IF(OR(U154="",T154=""),"",U154-T154)</f>
        <v/>
      </c>
      <c r="W154" s="40" t="n"/>
      <c r="X154" s="42" t="n"/>
      <c r="Y154" s="40" t="n"/>
      <c r="Z154" s="32" t="str">
        <f>IF(C154="","",IF(OR(W154="Ordered",W154="Received",W154="Installed"),"Ordered",IF(AND(I154&lt;&gt;"",J154&lt;&gt;"",L154&lt;&gt;"",R154&lt;&gt;"",T154&lt;&gt;"",X154&lt;&gt;""),"READY","Missing: "&amp;_xlfn.TEXTJOIN(", ",TRUE,IF(I154="","model",""),IF(J154="","finish",""),IF(L154="","qty",""),IF(R154="","supplier",""),IF(T154="","lead time",""),IF(X154="","approval","")))))</f>
        <v/>
      </c>
      <c r="AA154" s="54" t="str">
        <f>IF(C154="","",IF(OR(W154="Ordered",W154="Received",W154="Installed"),"",IF(AND(G154&lt;&gt;"",X154="",G154&lt;TODAY()),"DECISION OVERDUE",IF(V154="","",IF(V154&lt;TODAY(),"ORDER OVERDUE",IF(V154-TODAY()&lt;=14,"ORDER SOON",""))))))</f>
        <v/>
      </c>
      <c r="AB154" s="35" t="str">
        <f>IF(Q154="","",IF(AND(X154="",Q154&gt;0),Q154,""))</f>
        <v/>
      </c>
      <c r="AC154" s="59" t="n"/>
      <c r="AD154" s="59" t="n"/>
      <c r="AE154" s="60" t="str">
        <f>IF(AND(C154&lt;&gt;"",B154='Client Sign-Off'!$D$7),COUNTIFS($B$6:B154,'Client Sign-Off'!$D$7,$C$6:C154,"?*"),"")</f>
        <v/>
      </c>
    </row>
    <row r="155" ht="18" customHeight="1">
      <c r="A155" s="54" t="str">
        <f>IF(C155="","",ROW()-5)</f>
        <v/>
      </c>
      <c r="B155" s="40" t="n"/>
      <c r="C155" s="40" t="n"/>
      <c r="D155" s="40" t="n"/>
      <c r="E155" s="40" t="n"/>
      <c r="F155" s="40" t="n"/>
      <c r="G155" s="55" t="str">
        <f>IF(F155="","",IFERROR(IF(INDEX(Project!$C$24:$C$27,MATCH(F155,Project!$B$24:$B$27,0))="","",INDEX(Project!$C$24:$C$27,MATCH(F155,Project!$B$24:$B$27,0))),""))</f>
        <v/>
      </c>
      <c r="H155" s="40" t="n"/>
      <c r="I155" s="40" t="n"/>
      <c r="J155" s="40" t="n"/>
      <c r="K155" s="40" t="n"/>
      <c r="L155" s="56" t="n"/>
      <c r="M155" s="40" t="n"/>
      <c r="N155" s="57" t="n"/>
      <c r="O155" s="35" t="str">
        <f>IF(OR(L155="",N155=""),"",L155*N155)</f>
        <v/>
      </c>
      <c r="P155" s="43" t="n"/>
      <c r="Q155" s="36" t="str">
        <f>IF(OR(O155="",P155=""),"",O155-P155)</f>
        <v/>
      </c>
      <c r="R155" s="40" t="n"/>
      <c r="S155" s="40" t="n"/>
      <c r="T155" s="58" t="n"/>
      <c r="U155" s="42" t="n"/>
      <c r="V155" s="55" t="str">
        <f>IF(OR(U155="",T155=""),"",U155-T155)</f>
        <v/>
      </c>
      <c r="W155" s="40" t="n"/>
      <c r="X155" s="42" t="n"/>
      <c r="Y155" s="40" t="n"/>
      <c r="Z155" s="32" t="str">
        <f>IF(C155="","",IF(OR(W155="Ordered",W155="Received",W155="Installed"),"Ordered",IF(AND(I155&lt;&gt;"",J155&lt;&gt;"",L155&lt;&gt;"",R155&lt;&gt;"",T155&lt;&gt;"",X155&lt;&gt;""),"READY","Missing: "&amp;_xlfn.TEXTJOIN(", ",TRUE,IF(I155="","model",""),IF(J155="","finish",""),IF(L155="","qty",""),IF(R155="","supplier",""),IF(T155="","lead time",""),IF(X155="","approval","")))))</f>
        <v/>
      </c>
      <c r="AA155" s="54" t="str">
        <f>IF(C155="","",IF(OR(W155="Ordered",W155="Received",W155="Installed"),"",IF(AND(G155&lt;&gt;"",X155="",G155&lt;TODAY()),"DECISION OVERDUE",IF(V155="","",IF(V155&lt;TODAY(),"ORDER OVERDUE",IF(V155-TODAY()&lt;=14,"ORDER SOON",""))))))</f>
        <v/>
      </c>
      <c r="AB155" s="35" t="str">
        <f>IF(Q155="","",IF(AND(X155="",Q155&gt;0),Q155,""))</f>
        <v/>
      </c>
      <c r="AC155" s="59" t="n"/>
      <c r="AD155" s="59" t="n"/>
      <c r="AE155" s="60" t="str">
        <f>IF(AND(C155&lt;&gt;"",B155='Client Sign-Off'!$D$7),COUNTIFS($B$6:B155,'Client Sign-Off'!$D$7,$C$6:C155,"?*"),"")</f>
        <v/>
      </c>
    </row>
    <row r="156" ht="18" customHeight="1">
      <c r="A156" s="54" t="str">
        <f>IF(C156="","",ROW()-5)</f>
        <v/>
      </c>
      <c r="B156" s="40" t="n"/>
      <c r="C156" s="40" t="n"/>
      <c r="D156" s="40" t="n"/>
      <c r="E156" s="40" t="n"/>
      <c r="F156" s="40" t="n"/>
      <c r="G156" s="55" t="str">
        <f>IF(F156="","",IFERROR(IF(INDEX(Project!$C$24:$C$27,MATCH(F156,Project!$B$24:$B$27,0))="","",INDEX(Project!$C$24:$C$27,MATCH(F156,Project!$B$24:$B$27,0))),""))</f>
        <v/>
      </c>
      <c r="H156" s="40" t="n"/>
      <c r="I156" s="40" t="n"/>
      <c r="J156" s="40" t="n"/>
      <c r="K156" s="40" t="n"/>
      <c r="L156" s="56" t="n"/>
      <c r="M156" s="40" t="n"/>
      <c r="N156" s="57" t="n"/>
      <c r="O156" s="35" t="str">
        <f>IF(OR(L156="",N156=""),"",L156*N156)</f>
        <v/>
      </c>
      <c r="P156" s="43" t="n"/>
      <c r="Q156" s="36" t="str">
        <f>IF(OR(O156="",P156=""),"",O156-P156)</f>
        <v/>
      </c>
      <c r="R156" s="40" t="n"/>
      <c r="S156" s="40" t="n"/>
      <c r="T156" s="58" t="n"/>
      <c r="U156" s="42" t="n"/>
      <c r="V156" s="55" t="str">
        <f>IF(OR(U156="",T156=""),"",U156-T156)</f>
        <v/>
      </c>
      <c r="W156" s="40" t="n"/>
      <c r="X156" s="42" t="n"/>
      <c r="Y156" s="40" t="n"/>
      <c r="Z156" s="32" t="str">
        <f>IF(C156="","",IF(OR(W156="Ordered",W156="Received",W156="Installed"),"Ordered",IF(AND(I156&lt;&gt;"",J156&lt;&gt;"",L156&lt;&gt;"",R156&lt;&gt;"",T156&lt;&gt;"",X156&lt;&gt;""),"READY","Missing: "&amp;_xlfn.TEXTJOIN(", ",TRUE,IF(I156="","model",""),IF(J156="","finish",""),IF(L156="","qty",""),IF(R156="","supplier",""),IF(T156="","lead time",""),IF(X156="","approval","")))))</f>
        <v/>
      </c>
      <c r="AA156" s="54" t="str">
        <f>IF(C156="","",IF(OR(W156="Ordered",W156="Received",W156="Installed"),"",IF(AND(G156&lt;&gt;"",X156="",G156&lt;TODAY()),"DECISION OVERDUE",IF(V156="","",IF(V156&lt;TODAY(),"ORDER OVERDUE",IF(V156-TODAY()&lt;=14,"ORDER SOON",""))))))</f>
        <v/>
      </c>
      <c r="AB156" s="35" t="str">
        <f>IF(Q156="","",IF(AND(X156="",Q156&gt;0),Q156,""))</f>
        <v/>
      </c>
      <c r="AC156" s="59" t="n"/>
      <c r="AD156" s="59" t="n"/>
      <c r="AE156" s="60" t="str">
        <f>IF(AND(C156&lt;&gt;"",B156='Client Sign-Off'!$D$7),COUNTIFS($B$6:B156,'Client Sign-Off'!$D$7,$C$6:C156,"?*"),"")</f>
        <v/>
      </c>
    </row>
    <row r="157" ht="18" customHeight="1">
      <c r="A157" s="54" t="str">
        <f>IF(C157="","",ROW()-5)</f>
        <v/>
      </c>
      <c r="B157" s="40" t="n"/>
      <c r="C157" s="40" t="n"/>
      <c r="D157" s="40" t="n"/>
      <c r="E157" s="40" t="n"/>
      <c r="F157" s="40" t="n"/>
      <c r="G157" s="55" t="str">
        <f>IF(F157="","",IFERROR(IF(INDEX(Project!$C$24:$C$27,MATCH(F157,Project!$B$24:$B$27,0))="","",INDEX(Project!$C$24:$C$27,MATCH(F157,Project!$B$24:$B$27,0))),""))</f>
        <v/>
      </c>
      <c r="H157" s="40" t="n"/>
      <c r="I157" s="40" t="n"/>
      <c r="J157" s="40" t="n"/>
      <c r="K157" s="40" t="n"/>
      <c r="L157" s="56" t="n"/>
      <c r="M157" s="40" t="n"/>
      <c r="N157" s="57" t="n"/>
      <c r="O157" s="35" t="str">
        <f>IF(OR(L157="",N157=""),"",L157*N157)</f>
        <v/>
      </c>
      <c r="P157" s="43" t="n"/>
      <c r="Q157" s="36" t="str">
        <f>IF(OR(O157="",P157=""),"",O157-P157)</f>
        <v/>
      </c>
      <c r="R157" s="40" t="n"/>
      <c r="S157" s="40" t="n"/>
      <c r="T157" s="58" t="n"/>
      <c r="U157" s="42" t="n"/>
      <c r="V157" s="55" t="str">
        <f>IF(OR(U157="",T157=""),"",U157-T157)</f>
        <v/>
      </c>
      <c r="W157" s="40" t="n"/>
      <c r="X157" s="42" t="n"/>
      <c r="Y157" s="40" t="n"/>
      <c r="Z157" s="32" t="str">
        <f>IF(C157="","",IF(OR(W157="Ordered",W157="Received",W157="Installed"),"Ordered",IF(AND(I157&lt;&gt;"",J157&lt;&gt;"",L157&lt;&gt;"",R157&lt;&gt;"",T157&lt;&gt;"",X157&lt;&gt;""),"READY","Missing: "&amp;_xlfn.TEXTJOIN(", ",TRUE,IF(I157="","model",""),IF(J157="","finish",""),IF(L157="","qty",""),IF(R157="","supplier",""),IF(T157="","lead time",""),IF(X157="","approval","")))))</f>
        <v/>
      </c>
      <c r="AA157" s="54" t="str">
        <f>IF(C157="","",IF(OR(W157="Ordered",W157="Received",W157="Installed"),"",IF(AND(G157&lt;&gt;"",X157="",G157&lt;TODAY()),"DECISION OVERDUE",IF(V157="","",IF(V157&lt;TODAY(),"ORDER OVERDUE",IF(V157-TODAY()&lt;=14,"ORDER SOON",""))))))</f>
        <v/>
      </c>
      <c r="AB157" s="35" t="str">
        <f>IF(Q157="","",IF(AND(X157="",Q157&gt;0),Q157,""))</f>
        <v/>
      </c>
      <c r="AC157" s="59" t="n"/>
      <c r="AD157" s="59" t="n"/>
      <c r="AE157" s="60" t="str">
        <f>IF(AND(C157&lt;&gt;"",B157='Client Sign-Off'!$D$7),COUNTIFS($B$6:B157,'Client Sign-Off'!$D$7,$C$6:C157,"?*"),"")</f>
        <v/>
      </c>
    </row>
    <row r="158" ht="18" customHeight="1">
      <c r="A158" s="54" t="str">
        <f>IF(C158="","",ROW()-5)</f>
        <v/>
      </c>
      <c r="B158" s="40" t="n"/>
      <c r="C158" s="40" t="n"/>
      <c r="D158" s="40" t="n"/>
      <c r="E158" s="40" t="n"/>
      <c r="F158" s="40" t="n"/>
      <c r="G158" s="55" t="str">
        <f>IF(F158="","",IFERROR(IF(INDEX(Project!$C$24:$C$27,MATCH(F158,Project!$B$24:$B$27,0))="","",INDEX(Project!$C$24:$C$27,MATCH(F158,Project!$B$24:$B$27,0))),""))</f>
        <v/>
      </c>
      <c r="H158" s="40" t="n"/>
      <c r="I158" s="40" t="n"/>
      <c r="J158" s="40" t="n"/>
      <c r="K158" s="40" t="n"/>
      <c r="L158" s="56" t="n"/>
      <c r="M158" s="40" t="n"/>
      <c r="N158" s="57" t="n"/>
      <c r="O158" s="35" t="str">
        <f>IF(OR(L158="",N158=""),"",L158*N158)</f>
        <v/>
      </c>
      <c r="P158" s="43" t="n"/>
      <c r="Q158" s="36" t="str">
        <f>IF(OR(O158="",P158=""),"",O158-P158)</f>
        <v/>
      </c>
      <c r="R158" s="40" t="n"/>
      <c r="S158" s="40" t="n"/>
      <c r="T158" s="58" t="n"/>
      <c r="U158" s="42" t="n"/>
      <c r="V158" s="55" t="str">
        <f>IF(OR(U158="",T158=""),"",U158-T158)</f>
        <v/>
      </c>
      <c r="W158" s="40" t="n"/>
      <c r="X158" s="42" t="n"/>
      <c r="Y158" s="40" t="n"/>
      <c r="Z158" s="32" t="str">
        <f>IF(C158="","",IF(OR(W158="Ordered",W158="Received",W158="Installed"),"Ordered",IF(AND(I158&lt;&gt;"",J158&lt;&gt;"",L158&lt;&gt;"",R158&lt;&gt;"",T158&lt;&gt;"",X158&lt;&gt;""),"READY","Missing: "&amp;_xlfn.TEXTJOIN(", ",TRUE,IF(I158="","model",""),IF(J158="","finish",""),IF(L158="","qty",""),IF(R158="","supplier",""),IF(T158="","lead time",""),IF(X158="","approval","")))))</f>
        <v/>
      </c>
      <c r="AA158" s="54" t="str">
        <f>IF(C158="","",IF(OR(W158="Ordered",W158="Received",W158="Installed"),"",IF(AND(G158&lt;&gt;"",X158="",G158&lt;TODAY()),"DECISION OVERDUE",IF(V158="","",IF(V158&lt;TODAY(),"ORDER OVERDUE",IF(V158-TODAY()&lt;=14,"ORDER SOON",""))))))</f>
        <v/>
      </c>
      <c r="AB158" s="35" t="str">
        <f>IF(Q158="","",IF(AND(X158="",Q158&gt;0),Q158,""))</f>
        <v/>
      </c>
      <c r="AC158" s="59" t="n"/>
      <c r="AD158" s="59" t="n"/>
      <c r="AE158" s="60" t="str">
        <f>IF(AND(C158&lt;&gt;"",B158='Client Sign-Off'!$D$7),COUNTIFS($B$6:B158,'Client Sign-Off'!$D$7,$C$6:C158,"?*"),"")</f>
        <v/>
      </c>
    </row>
    <row r="159" ht="18" customHeight="1">
      <c r="A159" s="54" t="str">
        <f>IF(C159="","",ROW()-5)</f>
        <v/>
      </c>
      <c r="B159" s="40" t="n"/>
      <c r="C159" s="40" t="n"/>
      <c r="D159" s="40" t="n"/>
      <c r="E159" s="40" t="n"/>
      <c r="F159" s="40" t="n"/>
      <c r="G159" s="55" t="str">
        <f>IF(F159="","",IFERROR(IF(INDEX(Project!$C$24:$C$27,MATCH(F159,Project!$B$24:$B$27,0))="","",INDEX(Project!$C$24:$C$27,MATCH(F159,Project!$B$24:$B$27,0))),""))</f>
        <v/>
      </c>
      <c r="H159" s="40" t="n"/>
      <c r="I159" s="40" t="n"/>
      <c r="J159" s="40" t="n"/>
      <c r="K159" s="40" t="n"/>
      <c r="L159" s="56" t="n"/>
      <c r="M159" s="40" t="n"/>
      <c r="N159" s="57" t="n"/>
      <c r="O159" s="35" t="str">
        <f>IF(OR(L159="",N159=""),"",L159*N159)</f>
        <v/>
      </c>
      <c r="P159" s="43" t="n"/>
      <c r="Q159" s="36" t="str">
        <f>IF(OR(O159="",P159=""),"",O159-P159)</f>
        <v/>
      </c>
      <c r="R159" s="40" t="n"/>
      <c r="S159" s="40" t="n"/>
      <c r="T159" s="58" t="n"/>
      <c r="U159" s="42" t="n"/>
      <c r="V159" s="55" t="str">
        <f>IF(OR(U159="",T159=""),"",U159-T159)</f>
        <v/>
      </c>
      <c r="W159" s="40" t="n"/>
      <c r="X159" s="42" t="n"/>
      <c r="Y159" s="40" t="n"/>
      <c r="Z159" s="32" t="str">
        <f>IF(C159="","",IF(OR(W159="Ordered",W159="Received",W159="Installed"),"Ordered",IF(AND(I159&lt;&gt;"",J159&lt;&gt;"",L159&lt;&gt;"",R159&lt;&gt;"",T159&lt;&gt;"",X159&lt;&gt;""),"READY","Missing: "&amp;_xlfn.TEXTJOIN(", ",TRUE,IF(I159="","model",""),IF(J159="","finish",""),IF(L159="","qty",""),IF(R159="","supplier",""),IF(T159="","lead time",""),IF(X159="","approval","")))))</f>
        <v/>
      </c>
      <c r="AA159" s="54" t="str">
        <f>IF(C159="","",IF(OR(W159="Ordered",W159="Received",W159="Installed"),"",IF(AND(G159&lt;&gt;"",X159="",G159&lt;TODAY()),"DECISION OVERDUE",IF(V159="","",IF(V159&lt;TODAY(),"ORDER OVERDUE",IF(V159-TODAY()&lt;=14,"ORDER SOON",""))))))</f>
        <v/>
      </c>
      <c r="AB159" s="35" t="str">
        <f>IF(Q159="","",IF(AND(X159="",Q159&gt;0),Q159,""))</f>
        <v/>
      </c>
      <c r="AC159" s="59" t="n"/>
      <c r="AD159" s="59" t="n"/>
      <c r="AE159" s="60" t="str">
        <f>IF(AND(C159&lt;&gt;"",B159='Client Sign-Off'!$D$7),COUNTIFS($B$6:B159,'Client Sign-Off'!$D$7,$C$6:C159,"?*"),"")</f>
        <v/>
      </c>
    </row>
    <row r="160" ht="18" customHeight="1">
      <c r="A160" s="54" t="str">
        <f>IF(C160="","",ROW()-5)</f>
        <v/>
      </c>
      <c r="B160" s="40" t="n"/>
      <c r="C160" s="40" t="n"/>
      <c r="D160" s="40" t="n"/>
      <c r="E160" s="40" t="n"/>
      <c r="F160" s="40" t="n"/>
      <c r="G160" s="55" t="str">
        <f>IF(F160="","",IFERROR(IF(INDEX(Project!$C$24:$C$27,MATCH(F160,Project!$B$24:$B$27,0))="","",INDEX(Project!$C$24:$C$27,MATCH(F160,Project!$B$24:$B$27,0))),""))</f>
        <v/>
      </c>
      <c r="H160" s="40" t="n"/>
      <c r="I160" s="40" t="n"/>
      <c r="J160" s="40" t="n"/>
      <c r="K160" s="40" t="n"/>
      <c r="L160" s="56" t="n"/>
      <c r="M160" s="40" t="n"/>
      <c r="N160" s="57" t="n"/>
      <c r="O160" s="35" t="str">
        <f>IF(OR(L160="",N160=""),"",L160*N160)</f>
        <v/>
      </c>
      <c r="P160" s="43" t="n"/>
      <c r="Q160" s="36" t="str">
        <f>IF(OR(O160="",P160=""),"",O160-P160)</f>
        <v/>
      </c>
      <c r="R160" s="40" t="n"/>
      <c r="S160" s="40" t="n"/>
      <c r="T160" s="58" t="n"/>
      <c r="U160" s="42" t="n"/>
      <c r="V160" s="55" t="str">
        <f>IF(OR(U160="",T160=""),"",U160-T160)</f>
        <v/>
      </c>
      <c r="W160" s="40" t="n"/>
      <c r="X160" s="42" t="n"/>
      <c r="Y160" s="40" t="n"/>
      <c r="Z160" s="32" t="str">
        <f>IF(C160="","",IF(OR(W160="Ordered",W160="Received",W160="Installed"),"Ordered",IF(AND(I160&lt;&gt;"",J160&lt;&gt;"",L160&lt;&gt;"",R160&lt;&gt;"",T160&lt;&gt;"",X160&lt;&gt;""),"READY","Missing: "&amp;_xlfn.TEXTJOIN(", ",TRUE,IF(I160="","model",""),IF(J160="","finish",""),IF(L160="","qty",""),IF(R160="","supplier",""),IF(T160="","lead time",""),IF(X160="","approval","")))))</f>
        <v/>
      </c>
      <c r="AA160" s="54" t="str">
        <f>IF(C160="","",IF(OR(W160="Ordered",W160="Received",W160="Installed"),"",IF(AND(G160&lt;&gt;"",X160="",G160&lt;TODAY()),"DECISION OVERDUE",IF(V160="","",IF(V160&lt;TODAY(),"ORDER OVERDUE",IF(V160-TODAY()&lt;=14,"ORDER SOON",""))))))</f>
        <v/>
      </c>
      <c r="AB160" s="35" t="str">
        <f>IF(Q160="","",IF(AND(X160="",Q160&gt;0),Q160,""))</f>
        <v/>
      </c>
      <c r="AC160" s="59" t="n"/>
      <c r="AD160" s="59" t="n"/>
      <c r="AE160" s="60" t="str">
        <f>IF(AND(C160&lt;&gt;"",B160='Client Sign-Off'!$D$7),COUNTIFS($B$6:B160,'Client Sign-Off'!$D$7,$C$6:C160,"?*"),"")</f>
        <v/>
      </c>
    </row>
    <row r="161" ht="18" customHeight="1">
      <c r="A161" s="54" t="str">
        <f>IF(C161="","",ROW()-5)</f>
        <v/>
      </c>
      <c r="B161" s="40" t="n"/>
      <c r="C161" s="40" t="n"/>
      <c r="D161" s="40" t="n"/>
      <c r="E161" s="40" t="n"/>
      <c r="F161" s="40" t="n"/>
      <c r="G161" s="55" t="str">
        <f>IF(F161="","",IFERROR(IF(INDEX(Project!$C$24:$C$27,MATCH(F161,Project!$B$24:$B$27,0))="","",INDEX(Project!$C$24:$C$27,MATCH(F161,Project!$B$24:$B$27,0))),""))</f>
        <v/>
      </c>
      <c r="H161" s="40" t="n"/>
      <c r="I161" s="40" t="n"/>
      <c r="J161" s="40" t="n"/>
      <c r="K161" s="40" t="n"/>
      <c r="L161" s="56" t="n"/>
      <c r="M161" s="40" t="n"/>
      <c r="N161" s="57" t="n"/>
      <c r="O161" s="35" t="str">
        <f>IF(OR(L161="",N161=""),"",L161*N161)</f>
        <v/>
      </c>
      <c r="P161" s="43" t="n"/>
      <c r="Q161" s="36" t="str">
        <f>IF(OR(O161="",P161=""),"",O161-P161)</f>
        <v/>
      </c>
      <c r="R161" s="40" t="n"/>
      <c r="S161" s="40" t="n"/>
      <c r="T161" s="58" t="n"/>
      <c r="U161" s="42" t="n"/>
      <c r="V161" s="55" t="str">
        <f>IF(OR(U161="",T161=""),"",U161-T161)</f>
        <v/>
      </c>
      <c r="W161" s="40" t="n"/>
      <c r="X161" s="42" t="n"/>
      <c r="Y161" s="40" t="n"/>
      <c r="Z161" s="32" t="str">
        <f>IF(C161="","",IF(OR(W161="Ordered",W161="Received",W161="Installed"),"Ordered",IF(AND(I161&lt;&gt;"",J161&lt;&gt;"",L161&lt;&gt;"",R161&lt;&gt;"",T161&lt;&gt;"",X161&lt;&gt;""),"READY","Missing: "&amp;_xlfn.TEXTJOIN(", ",TRUE,IF(I161="","model",""),IF(J161="","finish",""),IF(L161="","qty",""),IF(R161="","supplier",""),IF(T161="","lead time",""),IF(X161="","approval","")))))</f>
        <v/>
      </c>
      <c r="AA161" s="54" t="str">
        <f>IF(C161="","",IF(OR(W161="Ordered",W161="Received",W161="Installed"),"",IF(AND(G161&lt;&gt;"",X161="",G161&lt;TODAY()),"DECISION OVERDUE",IF(V161="","",IF(V161&lt;TODAY(),"ORDER OVERDUE",IF(V161-TODAY()&lt;=14,"ORDER SOON",""))))))</f>
        <v/>
      </c>
      <c r="AB161" s="35" t="str">
        <f>IF(Q161="","",IF(AND(X161="",Q161&gt;0),Q161,""))</f>
        <v/>
      </c>
      <c r="AC161" s="59" t="n"/>
      <c r="AD161" s="59" t="n"/>
      <c r="AE161" s="60" t="str">
        <f>IF(AND(C161&lt;&gt;"",B161='Client Sign-Off'!$D$7),COUNTIFS($B$6:B161,'Client Sign-Off'!$D$7,$C$6:C161,"?*"),"")</f>
        <v/>
      </c>
    </row>
    <row r="162" ht="18" customHeight="1">
      <c r="A162" s="54" t="str">
        <f>IF(C162="","",ROW()-5)</f>
        <v/>
      </c>
      <c r="B162" s="40" t="n"/>
      <c r="C162" s="40" t="n"/>
      <c r="D162" s="40" t="n"/>
      <c r="E162" s="40" t="n"/>
      <c r="F162" s="40" t="n"/>
      <c r="G162" s="55" t="str">
        <f>IF(F162="","",IFERROR(IF(INDEX(Project!$C$24:$C$27,MATCH(F162,Project!$B$24:$B$27,0))="","",INDEX(Project!$C$24:$C$27,MATCH(F162,Project!$B$24:$B$27,0))),""))</f>
        <v/>
      </c>
      <c r="H162" s="40" t="n"/>
      <c r="I162" s="40" t="n"/>
      <c r="J162" s="40" t="n"/>
      <c r="K162" s="40" t="n"/>
      <c r="L162" s="56" t="n"/>
      <c r="M162" s="40" t="n"/>
      <c r="N162" s="57" t="n"/>
      <c r="O162" s="35" t="str">
        <f>IF(OR(L162="",N162=""),"",L162*N162)</f>
        <v/>
      </c>
      <c r="P162" s="43" t="n"/>
      <c r="Q162" s="36" t="str">
        <f>IF(OR(O162="",P162=""),"",O162-P162)</f>
        <v/>
      </c>
      <c r="R162" s="40" t="n"/>
      <c r="S162" s="40" t="n"/>
      <c r="T162" s="58" t="n"/>
      <c r="U162" s="42" t="n"/>
      <c r="V162" s="55" t="str">
        <f>IF(OR(U162="",T162=""),"",U162-T162)</f>
        <v/>
      </c>
      <c r="W162" s="40" t="n"/>
      <c r="X162" s="42" t="n"/>
      <c r="Y162" s="40" t="n"/>
      <c r="Z162" s="32" t="str">
        <f>IF(C162="","",IF(OR(W162="Ordered",W162="Received",W162="Installed"),"Ordered",IF(AND(I162&lt;&gt;"",J162&lt;&gt;"",L162&lt;&gt;"",R162&lt;&gt;"",T162&lt;&gt;"",X162&lt;&gt;""),"READY","Missing: "&amp;_xlfn.TEXTJOIN(", ",TRUE,IF(I162="","model",""),IF(J162="","finish",""),IF(L162="","qty",""),IF(R162="","supplier",""),IF(T162="","lead time",""),IF(X162="","approval","")))))</f>
        <v/>
      </c>
      <c r="AA162" s="54" t="str">
        <f>IF(C162="","",IF(OR(W162="Ordered",W162="Received",W162="Installed"),"",IF(AND(G162&lt;&gt;"",X162="",G162&lt;TODAY()),"DECISION OVERDUE",IF(V162="","",IF(V162&lt;TODAY(),"ORDER OVERDUE",IF(V162-TODAY()&lt;=14,"ORDER SOON",""))))))</f>
        <v/>
      </c>
      <c r="AB162" s="35" t="str">
        <f>IF(Q162="","",IF(AND(X162="",Q162&gt;0),Q162,""))</f>
        <v/>
      </c>
      <c r="AC162" s="59" t="n"/>
      <c r="AD162" s="59" t="n"/>
      <c r="AE162" s="60" t="str">
        <f>IF(AND(C162&lt;&gt;"",B162='Client Sign-Off'!$D$7),COUNTIFS($B$6:B162,'Client Sign-Off'!$D$7,$C$6:C162,"?*"),"")</f>
        <v/>
      </c>
    </row>
    <row r="163" ht="18" customHeight="1">
      <c r="A163" s="54" t="str">
        <f>IF(C163="","",ROW()-5)</f>
        <v/>
      </c>
      <c r="B163" s="40" t="n"/>
      <c r="C163" s="40" t="n"/>
      <c r="D163" s="40" t="n"/>
      <c r="E163" s="40" t="n"/>
      <c r="F163" s="40" t="n"/>
      <c r="G163" s="55" t="str">
        <f>IF(F163="","",IFERROR(IF(INDEX(Project!$C$24:$C$27,MATCH(F163,Project!$B$24:$B$27,0))="","",INDEX(Project!$C$24:$C$27,MATCH(F163,Project!$B$24:$B$27,0))),""))</f>
        <v/>
      </c>
      <c r="H163" s="40" t="n"/>
      <c r="I163" s="40" t="n"/>
      <c r="J163" s="40" t="n"/>
      <c r="K163" s="40" t="n"/>
      <c r="L163" s="56" t="n"/>
      <c r="M163" s="40" t="n"/>
      <c r="N163" s="57" t="n"/>
      <c r="O163" s="35" t="str">
        <f>IF(OR(L163="",N163=""),"",L163*N163)</f>
        <v/>
      </c>
      <c r="P163" s="43" t="n"/>
      <c r="Q163" s="36" t="str">
        <f>IF(OR(O163="",P163=""),"",O163-P163)</f>
        <v/>
      </c>
      <c r="R163" s="40" t="n"/>
      <c r="S163" s="40" t="n"/>
      <c r="T163" s="58" t="n"/>
      <c r="U163" s="42" t="n"/>
      <c r="V163" s="55" t="str">
        <f>IF(OR(U163="",T163=""),"",U163-T163)</f>
        <v/>
      </c>
      <c r="W163" s="40" t="n"/>
      <c r="X163" s="42" t="n"/>
      <c r="Y163" s="40" t="n"/>
      <c r="Z163" s="32" t="str">
        <f>IF(C163="","",IF(OR(W163="Ordered",W163="Received",W163="Installed"),"Ordered",IF(AND(I163&lt;&gt;"",J163&lt;&gt;"",L163&lt;&gt;"",R163&lt;&gt;"",T163&lt;&gt;"",X163&lt;&gt;""),"READY","Missing: "&amp;_xlfn.TEXTJOIN(", ",TRUE,IF(I163="","model",""),IF(J163="","finish",""),IF(L163="","qty",""),IF(R163="","supplier",""),IF(T163="","lead time",""),IF(X163="","approval","")))))</f>
        <v/>
      </c>
      <c r="AA163" s="54" t="str">
        <f>IF(C163="","",IF(OR(W163="Ordered",W163="Received",W163="Installed"),"",IF(AND(G163&lt;&gt;"",X163="",G163&lt;TODAY()),"DECISION OVERDUE",IF(V163="","",IF(V163&lt;TODAY(),"ORDER OVERDUE",IF(V163-TODAY()&lt;=14,"ORDER SOON",""))))))</f>
        <v/>
      </c>
      <c r="AB163" s="35" t="str">
        <f>IF(Q163="","",IF(AND(X163="",Q163&gt;0),Q163,""))</f>
        <v/>
      </c>
      <c r="AC163" s="59" t="n"/>
      <c r="AD163" s="59" t="n"/>
      <c r="AE163" s="60" t="str">
        <f>IF(AND(C163&lt;&gt;"",B163='Client Sign-Off'!$D$7),COUNTIFS($B$6:B163,'Client Sign-Off'!$D$7,$C$6:C163,"?*"),"")</f>
        <v/>
      </c>
    </row>
    <row r="164" ht="18" customHeight="1">
      <c r="A164" s="54" t="str">
        <f>IF(C164="","",ROW()-5)</f>
        <v/>
      </c>
      <c r="B164" s="40" t="n"/>
      <c r="C164" s="40" t="n"/>
      <c r="D164" s="40" t="n"/>
      <c r="E164" s="40" t="n"/>
      <c r="F164" s="40" t="n"/>
      <c r="G164" s="55" t="str">
        <f>IF(F164="","",IFERROR(IF(INDEX(Project!$C$24:$C$27,MATCH(F164,Project!$B$24:$B$27,0))="","",INDEX(Project!$C$24:$C$27,MATCH(F164,Project!$B$24:$B$27,0))),""))</f>
        <v/>
      </c>
      <c r="H164" s="40" t="n"/>
      <c r="I164" s="40" t="n"/>
      <c r="J164" s="40" t="n"/>
      <c r="K164" s="40" t="n"/>
      <c r="L164" s="56" t="n"/>
      <c r="M164" s="40" t="n"/>
      <c r="N164" s="57" t="n"/>
      <c r="O164" s="35" t="str">
        <f>IF(OR(L164="",N164=""),"",L164*N164)</f>
        <v/>
      </c>
      <c r="P164" s="43" t="n"/>
      <c r="Q164" s="36" t="str">
        <f>IF(OR(O164="",P164=""),"",O164-P164)</f>
        <v/>
      </c>
      <c r="R164" s="40" t="n"/>
      <c r="S164" s="40" t="n"/>
      <c r="T164" s="58" t="n"/>
      <c r="U164" s="42" t="n"/>
      <c r="V164" s="55" t="str">
        <f>IF(OR(U164="",T164=""),"",U164-T164)</f>
        <v/>
      </c>
      <c r="W164" s="40" t="n"/>
      <c r="X164" s="42" t="n"/>
      <c r="Y164" s="40" t="n"/>
      <c r="Z164" s="32" t="str">
        <f>IF(C164="","",IF(OR(W164="Ordered",W164="Received",W164="Installed"),"Ordered",IF(AND(I164&lt;&gt;"",J164&lt;&gt;"",L164&lt;&gt;"",R164&lt;&gt;"",T164&lt;&gt;"",X164&lt;&gt;""),"READY","Missing: "&amp;_xlfn.TEXTJOIN(", ",TRUE,IF(I164="","model",""),IF(J164="","finish",""),IF(L164="","qty",""),IF(R164="","supplier",""),IF(T164="","lead time",""),IF(X164="","approval","")))))</f>
        <v/>
      </c>
      <c r="AA164" s="54" t="str">
        <f>IF(C164="","",IF(OR(W164="Ordered",W164="Received",W164="Installed"),"",IF(AND(G164&lt;&gt;"",X164="",G164&lt;TODAY()),"DECISION OVERDUE",IF(V164="","",IF(V164&lt;TODAY(),"ORDER OVERDUE",IF(V164-TODAY()&lt;=14,"ORDER SOON",""))))))</f>
        <v/>
      </c>
      <c r="AB164" s="35" t="str">
        <f>IF(Q164="","",IF(AND(X164="",Q164&gt;0),Q164,""))</f>
        <v/>
      </c>
      <c r="AC164" s="59" t="n"/>
      <c r="AD164" s="59" t="n"/>
      <c r="AE164" s="60" t="str">
        <f>IF(AND(C164&lt;&gt;"",B164='Client Sign-Off'!$D$7),COUNTIFS($B$6:B164,'Client Sign-Off'!$D$7,$C$6:C164,"?*"),"")</f>
        <v/>
      </c>
    </row>
    <row r="165" ht="18" customHeight="1">
      <c r="A165" s="54" t="str">
        <f>IF(C165="","",ROW()-5)</f>
        <v/>
      </c>
      <c r="B165" s="40" t="n"/>
      <c r="C165" s="40" t="n"/>
      <c r="D165" s="40" t="n"/>
      <c r="E165" s="40" t="n"/>
      <c r="F165" s="40" t="n"/>
      <c r="G165" s="55" t="str">
        <f>IF(F165="","",IFERROR(IF(INDEX(Project!$C$24:$C$27,MATCH(F165,Project!$B$24:$B$27,0))="","",INDEX(Project!$C$24:$C$27,MATCH(F165,Project!$B$24:$B$27,0))),""))</f>
        <v/>
      </c>
      <c r="H165" s="40" t="n"/>
      <c r="I165" s="40" t="n"/>
      <c r="J165" s="40" t="n"/>
      <c r="K165" s="40" t="n"/>
      <c r="L165" s="56" t="n"/>
      <c r="M165" s="40" t="n"/>
      <c r="N165" s="57" t="n"/>
      <c r="O165" s="35" t="str">
        <f>IF(OR(L165="",N165=""),"",L165*N165)</f>
        <v/>
      </c>
      <c r="P165" s="43" t="n"/>
      <c r="Q165" s="36" t="str">
        <f>IF(OR(O165="",P165=""),"",O165-P165)</f>
        <v/>
      </c>
      <c r="R165" s="40" t="n"/>
      <c r="S165" s="40" t="n"/>
      <c r="T165" s="58" t="n"/>
      <c r="U165" s="42" t="n"/>
      <c r="V165" s="55" t="str">
        <f>IF(OR(U165="",T165=""),"",U165-T165)</f>
        <v/>
      </c>
      <c r="W165" s="40" t="n"/>
      <c r="X165" s="42" t="n"/>
      <c r="Y165" s="40" t="n"/>
      <c r="Z165" s="32" t="str">
        <f>IF(C165="","",IF(OR(W165="Ordered",W165="Received",W165="Installed"),"Ordered",IF(AND(I165&lt;&gt;"",J165&lt;&gt;"",L165&lt;&gt;"",R165&lt;&gt;"",T165&lt;&gt;"",X165&lt;&gt;""),"READY","Missing: "&amp;_xlfn.TEXTJOIN(", ",TRUE,IF(I165="","model",""),IF(J165="","finish",""),IF(L165="","qty",""),IF(R165="","supplier",""),IF(T165="","lead time",""),IF(X165="","approval","")))))</f>
        <v/>
      </c>
      <c r="AA165" s="54" t="str">
        <f>IF(C165="","",IF(OR(W165="Ordered",W165="Received",W165="Installed"),"",IF(AND(G165&lt;&gt;"",X165="",G165&lt;TODAY()),"DECISION OVERDUE",IF(V165="","",IF(V165&lt;TODAY(),"ORDER OVERDUE",IF(V165-TODAY()&lt;=14,"ORDER SOON",""))))))</f>
        <v/>
      </c>
      <c r="AB165" s="35" t="str">
        <f>IF(Q165="","",IF(AND(X165="",Q165&gt;0),Q165,""))</f>
        <v/>
      </c>
      <c r="AC165" s="59" t="n"/>
      <c r="AD165" s="59" t="n"/>
      <c r="AE165" s="60" t="str">
        <f>IF(AND(C165&lt;&gt;"",B165='Client Sign-Off'!$D$7),COUNTIFS($B$6:B165,'Client Sign-Off'!$D$7,$C$6:C165,"?*"),"")</f>
        <v/>
      </c>
    </row>
    <row r="166" ht="18" customHeight="1">
      <c r="A166" s="54" t="str">
        <f>IF(C166="","",ROW()-5)</f>
        <v/>
      </c>
      <c r="B166" s="40" t="n"/>
      <c r="C166" s="40" t="n"/>
      <c r="D166" s="40" t="n"/>
      <c r="E166" s="40" t="n"/>
      <c r="F166" s="40" t="n"/>
      <c r="G166" s="55" t="str">
        <f>IF(F166="","",IFERROR(IF(INDEX(Project!$C$24:$C$27,MATCH(F166,Project!$B$24:$B$27,0))="","",INDEX(Project!$C$24:$C$27,MATCH(F166,Project!$B$24:$B$27,0))),""))</f>
        <v/>
      </c>
      <c r="H166" s="40" t="n"/>
      <c r="I166" s="40" t="n"/>
      <c r="J166" s="40" t="n"/>
      <c r="K166" s="40" t="n"/>
      <c r="L166" s="56" t="n"/>
      <c r="M166" s="40" t="n"/>
      <c r="N166" s="57" t="n"/>
      <c r="O166" s="35" t="str">
        <f>IF(OR(L166="",N166=""),"",L166*N166)</f>
        <v/>
      </c>
      <c r="P166" s="43" t="n"/>
      <c r="Q166" s="36" t="str">
        <f>IF(OR(O166="",P166=""),"",O166-P166)</f>
        <v/>
      </c>
      <c r="R166" s="40" t="n"/>
      <c r="S166" s="40" t="n"/>
      <c r="T166" s="58" t="n"/>
      <c r="U166" s="42" t="n"/>
      <c r="V166" s="55" t="str">
        <f>IF(OR(U166="",T166=""),"",U166-T166)</f>
        <v/>
      </c>
      <c r="W166" s="40" t="n"/>
      <c r="X166" s="42" t="n"/>
      <c r="Y166" s="40" t="n"/>
      <c r="Z166" s="32" t="str">
        <f>IF(C166="","",IF(OR(W166="Ordered",W166="Received",W166="Installed"),"Ordered",IF(AND(I166&lt;&gt;"",J166&lt;&gt;"",L166&lt;&gt;"",R166&lt;&gt;"",T166&lt;&gt;"",X166&lt;&gt;""),"READY","Missing: "&amp;_xlfn.TEXTJOIN(", ",TRUE,IF(I166="","model",""),IF(J166="","finish",""),IF(L166="","qty",""),IF(R166="","supplier",""),IF(T166="","lead time",""),IF(X166="","approval","")))))</f>
        <v/>
      </c>
      <c r="AA166" s="54" t="str">
        <f>IF(C166="","",IF(OR(W166="Ordered",W166="Received",W166="Installed"),"",IF(AND(G166&lt;&gt;"",X166="",G166&lt;TODAY()),"DECISION OVERDUE",IF(V166="","",IF(V166&lt;TODAY(),"ORDER OVERDUE",IF(V166-TODAY()&lt;=14,"ORDER SOON",""))))))</f>
        <v/>
      </c>
      <c r="AB166" s="35" t="str">
        <f>IF(Q166="","",IF(AND(X166="",Q166&gt;0),Q166,""))</f>
        <v/>
      </c>
      <c r="AC166" s="59" t="n"/>
      <c r="AD166" s="59" t="n"/>
      <c r="AE166" s="60" t="str">
        <f>IF(AND(C166&lt;&gt;"",B166='Client Sign-Off'!$D$7),COUNTIFS($B$6:B166,'Client Sign-Off'!$D$7,$C$6:C166,"?*"),"")</f>
        <v/>
      </c>
    </row>
    <row r="167" ht="18" customHeight="1">
      <c r="A167" s="54" t="str">
        <f>IF(C167="","",ROW()-5)</f>
        <v/>
      </c>
      <c r="B167" s="40" t="n"/>
      <c r="C167" s="40" t="n"/>
      <c r="D167" s="40" t="n"/>
      <c r="E167" s="40" t="n"/>
      <c r="F167" s="40" t="n"/>
      <c r="G167" s="55" t="str">
        <f>IF(F167="","",IFERROR(IF(INDEX(Project!$C$24:$C$27,MATCH(F167,Project!$B$24:$B$27,0))="","",INDEX(Project!$C$24:$C$27,MATCH(F167,Project!$B$24:$B$27,0))),""))</f>
        <v/>
      </c>
      <c r="H167" s="40" t="n"/>
      <c r="I167" s="40" t="n"/>
      <c r="J167" s="40" t="n"/>
      <c r="K167" s="40" t="n"/>
      <c r="L167" s="56" t="n"/>
      <c r="M167" s="40" t="n"/>
      <c r="N167" s="57" t="n"/>
      <c r="O167" s="35" t="str">
        <f>IF(OR(L167="",N167=""),"",L167*N167)</f>
        <v/>
      </c>
      <c r="P167" s="43" t="n"/>
      <c r="Q167" s="36" t="str">
        <f>IF(OR(O167="",P167=""),"",O167-P167)</f>
        <v/>
      </c>
      <c r="R167" s="40" t="n"/>
      <c r="S167" s="40" t="n"/>
      <c r="T167" s="58" t="n"/>
      <c r="U167" s="42" t="n"/>
      <c r="V167" s="55" t="str">
        <f>IF(OR(U167="",T167=""),"",U167-T167)</f>
        <v/>
      </c>
      <c r="W167" s="40" t="n"/>
      <c r="X167" s="42" t="n"/>
      <c r="Y167" s="40" t="n"/>
      <c r="Z167" s="32" t="str">
        <f>IF(C167="","",IF(OR(W167="Ordered",W167="Received",W167="Installed"),"Ordered",IF(AND(I167&lt;&gt;"",J167&lt;&gt;"",L167&lt;&gt;"",R167&lt;&gt;"",T167&lt;&gt;"",X167&lt;&gt;""),"READY","Missing: "&amp;_xlfn.TEXTJOIN(", ",TRUE,IF(I167="","model",""),IF(J167="","finish",""),IF(L167="","qty",""),IF(R167="","supplier",""),IF(T167="","lead time",""),IF(X167="","approval","")))))</f>
        <v/>
      </c>
      <c r="AA167" s="54" t="str">
        <f>IF(C167="","",IF(OR(W167="Ordered",W167="Received",W167="Installed"),"",IF(AND(G167&lt;&gt;"",X167="",G167&lt;TODAY()),"DECISION OVERDUE",IF(V167="","",IF(V167&lt;TODAY(),"ORDER OVERDUE",IF(V167-TODAY()&lt;=14,"ORDER SOON",""))))))</f>
        <v/>
      </c>
      <c r="AB167" s="35" t="str">
        <f>IF(Q167="","",IF(AND(X167="",Q167&gt;0),Q167,""))</f>
        <v/>
      </c>
      <c r="AC167" s="59" t="n"/>
      <c r="AD167" s="59" t="n"/>
      <c r="AE167" s="60" t="str">
        <f>IF(AND(C167&lt;&gt;"",B167='Client Sign-Off'!$D$7),COUNTIFS($B$6:B167,'Client Sign-Off'!$D$7,$C$6:C167,"?*"),"")</f>
        <v/>
      </c>
    </row>
    <row r="168" ht="18" customHeight="1">
      <c r="A168" s="54" t="str">
        <f>IF(C168="","",ROW()-5)</f>
        <v/>
      </c>
      <c r="B168" s="40" t="n"/>
      <c r="C168" s="40" t="n"/>
      <c r="D168" s="40" t="n"/>
      <c r="E168" s="40" t="n"/>
      <c r="F168" s="40" t="n"/>
      <c r="G168" s="55" t="str">
        <f>IF(F168="","",IFERROR(IF(INDEX(Project!$C$24:$C$27,MATCH(F168,Project!$B$24:$B$27,0))="","",INDEX(Project!$C$24:$C$27,MATCH(F168,Project!$B$24:$B$27,0))),""))</f>
        <v/>
      </c>
      <c r="H168" s="40" t="n"/>
      <c r="I168" s="40" t="n"/>
      <c r="J168" s="40" t="n"/>
      <c r="K168" s="40" t="n"/>
      <c r="L168" s="56" t="n"/>
      <c r="M168" s="40" t="n"/>
      <c r="N168" s="57" t="n"/>
      <c r="O168" s="35" t="str">
        <f>IF(OR(L168="",N168=""),"",L168*N168)</f>
        <v/>
      </c>
      <c r="P168" s="43" t="n"/>
      <c r="Q168" s="36" t="str">
        <f>IF(OR(O168="",P168=""),"",O168-P168)</f>
        <v/>
      </c>
      <c r="R168" s="40" t="n"/>
      <c r="S168" s="40" t="n"/>
      <c r="T168" s="58" t="n"/>
      <c r="U168" s="42" t="n"/>
      <c r="V168" s="55" t="str">
        <f>IF(OR(U168="",T168=""),"",U168-T168)</f>
        <v/>
      </c>
      <c r="W168" s="40" t="n"/>
      <c r="X168" s="42" t="n"/>
      <c r="Y168" s="40" t="n"/>
      <c r="Z168" s="32" t="str">
        <f>IF(C168="","",IF(OR(W168="Ordered",W168="Received",W168="Installed"),"Ordered",IF(AND(I168&lt;&gt;"",J168&lt;&gt;"",L168&lt;&gt;"",R168&lt;&gt;"",T168&lt;&gt;"",X168&lt;&gt;""),"READY","Missing: "&amp;_xlfn.TEXTJOIN(", ",TRUE,IF(I168="","model",""),IF(J168="","finish",""),IF(L168="","qty",""),IF(R168="","supplier",""),IF(T168="","lead time",""),IF(X168="","approval","")))))</f>
        <v/>
      </c>
      <c r="AA168" s="54" t="str">
        <f>IF(C168="","",IF(OR(W168="Ordered",W168="Received",W168="Installed"),"",IF(AND(G168&lt;&gt;"",X168="",G168&lt;TODAY()),"DECISION OVERDUE",IF(V168="","",IF(V168&lt;TODAY(),"ORDER OVERDUE",IF(V168-TODAY()&lt;=14,"ORDER SOON",""))))))</f>
        <v/>
      </c>
      <c r="AB168" s="35" t="str">
        <f>IF(Q168="","",IF(AND(X168="",Q168&gt;0),Q168,""))</f>
        <v/>
      </c>
      <c r="AC168" s="59" t="n"/>
      <c r="AD168" s="59" t="n"/>
      <c r="AE168" s="60" t="str">
        <f>IF(AND(C168&lt;&gt;"",B168='Client Sign-Off'!$D$7),COUNTIFS($B$6:B168,'Client Sign-Off'!$D$7,$C$6:C168,"?*"),"")</f>
        <v/>
      </c>
    </row>
    <row r="169" ht="18" customHeight="1">
      <c r="A169" s="54" t="str">
        <f>IF(C169="","",ROW()-5)</f>
        <v/>
      </c>
      <c r="B169" s="40" t="n"/>
      <c r="C169" s="40" t="n"/>
      <c r="D169" s="40" t="n"/>
      <c r="E169" s="40" t="n"/>
      <c r="F169" s="40" t="n"/>
      <c r="G169" s="55" t="str">
        <f>IF(F169="","",IFERROR(IF(INDEX(Project!$C$24:$C$27,MATCH(F169,Project!$B$24:$B$27,0))="","",INDEX(Project!$C$24:$C$27,MATCH(F169,Project!$B$24:$B$27,0))),""))</f>
        <v/>
      </c>
      <c r="H169" s="40" t="n"/>
      <c r="I169" s="40" t="n"/>
      <c r="J169" s="40" t="n"/>
      <c r="K169" s="40" t="n"/>
      <c r="L169" s="56" t="n"/>
      <c r="M169" s="40" t="n"/>
      <c r="N169" s="57" t="n"/>
      <c r="O169" s="35" t="str">
        <f>IF(OR(L169="",N169=""),"",L169*N169)</f>
        <v/>
      </c>
      <c r="P169" s="43" t="n"/>
      <c r="Q169" s="36" t="str">
        <f>IF(OR(O169="",P169=""),"",O169-P169)</f>
        <v/>
      </c>
      <c r="R169" s="40" t="n"/>
      <c r="S169" s="40" t="n"/>
      <c r="T169" s="58" t="n"/>
      <c r="U169" s="42" t="n"/>
      <c r="V169" s="55" t="str">
        <f>IF(OR(U169="",T169=""),"",U169-T169)</f>
        <v/>
      </c>
      <c r="W169" s="40" t="n"/>
      <c r="X169" s="42" t="n"/>
      <c r="Y169" s="40" t="n"/>
      <c r="Z169" s="32" t="str">
        <f>IF(C169="","",IF(OR(W169="Ordered",W169="Received",W169="Installed"),"Ordered",IF(AND(I169&lt;&gt;"",J169&lt;&gt;"",L169&lt;&gt;"",R169&lt;&gt;"",T169&lt;&gt;"",X169&lt;&gt;""),"READY","Missing: "&amp;_xlfn.TEXTJOIN(", ",TRUE,IF(I169="","model",""),IF(J169="","finish",""),IF(L169="","qty",""),IF(R169="","supplier",""),IF(T169="","lead time",""),IF(X169="","approval","")))))</f>
        <v/>
      </c>
      <c r="AA169" s="54" t="str">
        <f>IF(C169="","",IF(OR(W169="Ordered",W169="Received",W169="Installed"),"",IF(AND(G169&lt;&gt;"",X169="",G169&lt;TODAY()),"DECISION OVERDUE",IF(V169="","",IF(V169&lt;TODAY(),"ORDER OVERDUE",IF(V169-TODAY()&lt;=14,"ORDER SOON",""))))))</f>
        <v/>
      </c>
      <c r="AB169" s="35" t="str">
        <f>IF(Q169="","",IF(AND(X169="",Q169&gt;0),Q169,""))</f>
        <v/>
      </c>
      <c r="AC169" s="59" t="n"/>
      <c r="AD169" s="59" t="n"/>
      <c r="AE169" s="60" t="str">
        <f>IF(AND(C169&lt;&gt;"",B169='Client Sign-Off'!$D$7),COUNTIFS($B$6:B169,'Client Sign-Off'!$D$7,$C$6:C169,"?*"),"")</f>
        <v/>
      </c>
    </row>
    <row r="170" ht="18" customHeight="1">
      <c r="A170" s="54" t="str">
        <f>IF(C170="","",ROW()-5)</f>
        <v/>
      </c>
      <c r="B170" s="40" t="n"/>
      <c r="C170" s="40" t="n"/>
      <c r="D170" s="40" t="n"/>
      <c r="E170" s="40" t="n"/>
      <c r="F170" s="40" t="n"/>
      <c r="G170" s="55" t="str">
        <f>IF(F170="","",IFERROR(IF(INDEX(Project!$C$24:$C$27,MATCH(F170,Project!$B$24:$B$27,0))="","",INDEX(Project!$C$24:$C$27,MATCH(F170,Project!$B$24:$B$27,0))),""))</f>
        <v/>
      </c>
      <c r="H170" s="40" t="n"/>
      <c r="I170" s="40" t="n"/>
      <c r="J170" s="40" t="n"/>
      <c r="K170" s="40" t="n"/>
      <c r="L170" s="56" t="n"/>
      <c r="M170" s="40" t="n"/>
      <c r="N170" s="57" t="n"/>
      <c r="O170" s="35" t="str">
        <f>IF(OR(L170="",N170=""),"",L170*N170)</f>
        <v/>
      </c>
      <c r="P170" s="43" t="n"/>
      <c r="Q170" s="36" t="str">
        <f>IF(OR(O170="",P170=""),"",O170-P170)</f>
        <v/>
      </c>
      <c r="R170" s="40" t="n"/>
      <c r="S170" s="40" t="n"/>
      <c r="T170" s="58" t="n"/>
      <c r="U170" s="42" t="n"/>
      <c r="V170" s="55" t="str">
        <f>IF(OR(U170="",T170=""),"",U170-T170)</f>
        <v/>
      </c>
      <c r="W170" s="40" t="n"/>
      <c r="X170" s="42" t="n"/>
      <c r="Y170" s="40" t="n"/>
      <c r="Z170" s="32" t="str">
        <f>IF(C170="","",IF(OR(W170="Ordered",W170="Received",W170="Installed"),"Ordered",IF(AND(I170&lt;&gt;"",J170&lt;&gt;"",L170&lt;&gt;"",R170&lt;&gt;"",T170&lt;&gt;"",X170&lt;&gt;""),"READY","Missing: "&amp;_xlfn.TEXTJOIN(", ",TRUE,IF(I170="","model",""),IF(J170="","finish",""),IF(L170="","qty",""),IF(R170="","supplier",""),IF(T170="","lead time",""),IF(X170="","approval","")))))</f>
        <v/>
      </c>
      <c r="AA170" s="54" t="str">
        <f>IF(C170="","",IF(OR(W170="Ordered",W170="Received",W170="Installed"),"",IF(AND(G170&lt;&gt;"",X170="",G170&lt;TODAY()),"DECISION OVERDUE",IF(V170="","",IF(V170&lt;TODAY(),"ORDER OVERDUE",IF(V170-TODAY()&lt;=14,"ORDER SOON",""))))))</f>
        <v/>
      </c>
      <c r="AB170" s="35" t="str">
        <f>IF(Q170="","",IF(AND(X170="",Q170&gt;0),Q170,""))</f>
        <v/>
      </c>
      <c r="AC170" s="59" t="n"/>
      <c r="AD170" s="59" t="n"/>
      <c r="AE170" s="60" t="str">
        <f>IF(AND(C170&lt;&gt;"",B170='Client Sign-Off'!$D$7),COUNTIFS($B$6:B170,'Client Sign-Off'!$D$7,$C$6:C170,"?*"),"")</f>
        <v/>
      </c>
    </row>
    <row r="171" ht="18" customHeight="1">
      <c r="A171" s="54" t="str">
        <f>IF(C171="","",ROW()-5)</f>
        <v/>
      </c>
      <c r="B171" s="40" t="n"/>
      <c r="C171" s="40" t="n"/>
      <c r="D171" s="40" t="n"/>
      <c r="E171" s="40" t="n"/>
      <c r="F171" s="40" t="n"/>
      <c r="G171" s="55" t="str">
        <f>IF(F171="","",IFERROR(IF(INDEX(Project!$C$24:$C$27,MATCH(F171,Project!$B$24:$B$27,0))="","",INDEX(Project!$C$24:$C$27,MATCH(F171,Project!$B$24:$B$27,0))),""))</f>
        <v/>
      </c>
      <c r="H171" s="40" t="n"/>
      <c r="I171" s="40" t="n"/>
      <c r="J171" s="40" t="n"/>
      <c r="K171" s="40" t="n"/>
      <c r="L171" s="56" t="n"/>
      <c r="M171" s="40" t="n"/>
      <c r="N171" s="57" t="n"/>
      <c r="O171" s="35" t="str">
        <f>IF(OR(L171="",N171=""),"",L171*N171)</f>
        <v/>
      </c>
      <c r="P171" s="43" t="n"/>
      <c r="Q171" s="36" t="str">
        <f>IF(OR(O171="",P171=""),"",O171-P171)</f>
        <v/>
      </c>
      <c r="R171" s="40" t="n"/>
      <c r="S171" s="40" t="n"/>
      <c r="T171" s="58" t="n"/>
      <c r="U171" s="42" t="n"/>
      <c r="V171" s="55" t="str">
        <f>IF(OR(U171="",T171=""),"",U171-T171)</f>
        <v/>
      </c>
      <c r="W171" s="40" t="n"/>
      <c r="X171" s="42" t="n"/>
      <c r="Y171" s="40" t="n"/>
      <c r="Z171" s="32" t="str">
        <f>IF(C171="","",IF(OR(W171="Ordered",W171="Received",W171="Installed"),"Ordered",IF(AND(I171&lt;&gt;"",J171&lt;&gt;"",L171&lt;&gt;"",R171&lt;&gt;"",T171&lt;&gt;"",X171&lt;&gt;""),"READY","Missing: "&amp;_xlfn.TEXTJOIN(", ",TRUE,IF(I171="","model",""),IF(J171="","finish",""),IF(L171="","qty",""),IF(R171="","supplier",""),IF(T171="","lead time",""),IF(X171="","approval","")))))</f>
        <v/>
      </c>
      <c r="AA171" s="54" t="str">
        <f>IF(C171="","",IF(OR(W171="Ordered",W171="Received",W171="Installed"),"",IF(AND(G171&lt;&gt;"",X171="",G171&lt;TODAY()),"DECISION OVERDUE",IF(V171="","",IF(V171&lt;TODAY(),"ORDER OVERDUE",IF(V171-TODAY()&lt;=14,"ORDER SOON",""))))))</f>
        <v/>
      </c>
      <c r="AB171" s="35" t="str">
        <f>IF(Q171="","",IF(AND(X171="",Q171&gt;0),Q171,""))</f>
        <v/>
      </c>
      <c r="AC171" s="59" t="n"/>
      <c r="AD171" s="59" t="n"/>
      <c r="AE171" s="60" t="str">
        <f>IF(AND(C171&lt;&gt;"",B171='Client Sign-Off'!$D$7),COUNTIFS($B$6:B171,'Client Sign-Off'!$D$7,$C$6:C171,"?*"),"")</f>
        <v/>
      </c>
    </row>
    <row r="172" ht="18" customHeight="1">
      <c r="A172" s="54" t="str">
        <f>IF(C172="","",ROW()-5)</f>
        <v/>
      </c>
      <c r="B172" s="40" t="n"/>
      <c r="C172" s="40" t="n"/>
      <c r="D172" s="40" t="n"/>
      <c r="E172" s="40" t="n"/>
      <c r="F172" s="40" t="n"/>
      <c r="G172" s="55" t="str">
        <f>IF(F172="","",IFERROR(IF(INDEX(Project!$C$24:$C$27,MATCH(F172,Project!$B$24:$B$27,0))="","",INDEX(Project!$C$24:$C$27,MATCH(F172,Project!$B$24:$B$27,0))),""))</f>
        <v/>
      </c>
      <c r="H172" s="40" t="n"/>
      <c r="I172" s="40" t="n"/>
      <c r="J172" s="40" t="n"/>
      <c r="K172" s="40" t="n"/>
      <c r="L172" s="56" t="n"/>
      <c r="M172" s="40" t="n"/>
      <c r="N172" s="57" t="n"/>
      <c r="O172" s="35" t="str">
        <f>IF(OR(L172="",N172=""),"",L172*N172)</f>
        <v/>
      </c>
      <c r="P172" s="43" t="n"/>
      <c r="Q172" s="36" t="str">
        <f>IF(OR(O172="",P172=""),"",O172-P172)</f>
        <v/>
      </c>
      <c r="R172" s="40" t="n"/>
      <c r="S172" s="40" t="n"/>
      <c r="T172" s="58" t="n"/>
      <c r="U172" s="42" t="n"/>
      <c r="V172" s="55" t="str">
        <f>IF(OR(U172="",T172=""),"",U172-T172)</f>
        <v/>
      </c>
      <c r="W172" s="40" t="n"/>
      <c r="X172" s="42" t="n"/>
      <c r="Y172" s="40" t="n"/>
      <c r="Z172" s="32" t="str">
        <f>IF(C172="","",IF(OR(W172="Ordered",W172="Received",W172="Installed"),"Ordered",IF(AND(I172&lt;&gt;"",J172&lt;&gt;"",L172&lt;&gt;"",R172&lt;&gt;"",T172&lt;&gt;"",X172&lt;&gt;""),"READY","Missing: "&amp;_xlfn.TEXTJOIN(", ",TRUE,IF(I172="","model",""),IF(J172="","finish",""),IF(L172="","qty",""),IF(R172="","supplier",""),IF(T172="","lead time",""),IF(X172="","approval","")))))</f>
        <v/>
      </c>
      <c r="AA172" s="54" t="str">
        <f>IF(C172="","",IF(OR(W172="Ordered",W172="Received",W172="Installed"),"",IF(AND(G172&lt;&gt;"",X172="",G172&lt;TODAY()),"DECISION OVERDUE",IF(V172="","",IF(V172&lt;TODAY(),"ORDER OVERDUE",IF(V172-TODAY()&lt;=14,"ORDER SOON",""))))))</f>
        <v/>
      </c>
      <c r="AB172" s="35" t="str">
        <f>IF(Q172="","",IF(AND(X172="",Q172&gt;0),Q172,""))</f>
        <v/>
      </c>
      <c r="AC172" s="59" t="n"/>
      <c r="AD172" s="59" t="n"/>
      <c r="AE172" s="60" t="str">
        <f>IF(AND(C172&lt;&gt;"",B172='Client Sign-Off'!$D$7),COUNTIFS($B$6:B172,'Client Sign-Off'!$D$7,$C$6:C172,"?*"),"")</f>
        <v/>
      </c>
    </row>
    <row r="173" ht="18" customHeight="1">
      <c r="A173" s="54" t="str">
        <f>IF(C173="","",ROW()-5)</f>
        <v/>
      </c>
      <c r="B173" s="40" t="n"/>
      <c r="C173" s="40" t="n"/>
      <c r="D173" s="40" t="n"/>
      <c r="E173" s="40" t="n"/>
      <c r="F173" s="40" t="n"/>
      <c r="G173" s="55" t="str">
        <f>IF(F173="","",IFERROR(IF(INDEX(Project!$C$24:$C$27,MATCH(F173,Project!$B$24:$B$27,0))="","",INDEX(Project!$C$24:$C$27,MATCH(F173,Project!$B$24:$B$27,0))),""))</f>
        <v/>
      </c>
      <c r="H173" s="40" t="n"/>
      <c r="I173" s="40" t="n"/>
      <c r="J173" s="40" t="n"/>
      <c r="K173" s="40" t="n"/>
      <c r="L173" s="56" t="n"/>
      <c r="M173" s="40" t="n"/>
      <c r="N173" s="57" t="n"/>
      <c r="O173" s="35" t="str">
        <f>IF(OR(L173="",N173=""),"",L173*N173)</f>
        <v/>
      </c>
      <c r="P173" s="43" t="n"/>
      <c r="Q173" s="36" t="str">
        <f>IF(OR(O173="",P173=""),"",O173-P173)</f>
        <v/>
      </c>
      <c r="R173" s="40" t="n"/>
      <c r="S173" s="40" t="n"/>
      <c r="T173" s="58" t="n"/>
      <c r="U173" s="42" t="n"/>
      <c r="V173" s="55" t="str">
        <f>IF(OR(U173="",T173=""),"",U173-T173)</f>
        <v/>
      </c>
      <c r="W173" s="40" t="n"/>
      <c r="X173" s="42" t="n"/>
      <c r="Y173" s="40" t="n"/>
      <c r="Z173" s="32" t="str">
        <f>IF(C173="","",IF(OR(W173="Ordered",W173="Received",W173="Installed"),"Ordered",IF(AND(I173&lt;&gt;"",J173&lt;&gt;"",L173&lt;&gt;"",R173&lt;&gt;"",T173&lt;&gt;"",X173&lt;&gt;""),"READY","Missing: "&amp;_xlfn.TEXTJOIN(", ",TRUE,IF(I173="","model",""),IF(J173="","finish",""),IF(L173="","qty",""),IF(R173="","supplier",""),IF(T173="","lead time",""),IF(X173="","approval","")))))</f>
        <v/>
      </c>
      <c r="AA173" s="54" t="str">
        <f>IF(C173="","",IF(OR(W173="Ordered",W173="Received",W173="Installed"),"",IF(AND(G173&lt;&gt;"",X173="",G173&lt;TODAY()),"DECISION OVERDUE",IF(V173="","",IF(V173&lt;TODAY(),"ORDER OVERDUE",IF(V173-TODAY()&lt;=14,"ORDER SOON",""))))))</f>
        <v/>
      </c>
      <c r="AB173" s="35" t="str">
        <f>IF(Q173="","",IF(AND(X173="",Q173&gt;0),Q173,""))</f>
        <v/>
      </c>
      <c r="AC173" s="59" t="n"/>
      <c r="AD173" s="59" t="n"/>
      <c r="AE173" s="60" t="str">
        <f>IF(AND(C173&lt;&gt;"",B173='Client Sign-Off'!$D$7),COUNTIFS($B$6:B173,'Client Sign-Off'!$D$7,$C$6:C173,"?*"),"")</f>
        <v/>
      </c>
    </row>
    <row r="174" ht="18" customHeight="1">
      <c r="A174" s="54" t="str">
        <f>IF(C174="","",ROW()-5)</f>
        <v/>
      </c>
      <c r="B174" s="40" t="n"/>
      <c r="C174" s="40" t="n"/>
      <c r="D174" s="40" t="n"/>
      <c r="E174" s="40" t="n"/>
      <c r="F174" s="40" t="n"/>
      <c r="G174" s="55" t="str">
        <f>IF(F174="","",IFERROR(IF(INDEX(Project!$C$24:$C$27,MATCH(F174,Project!$B$24:$B$27,0))="","",INDEX(Project!$C$24:$C$27,MATCH(F174,Project!$B$24:$B$27,0))),""))</f>
        <v/>
      </c>
      <c r="H174" s="40" t="n"/>
      <c r="I174" s="40" t="n"/>
      <c r="J174" s="40" t="n"/>
      <c r="K174" s="40" t="n"/>
      <c r="L174" s="56" t="n"/>
      <c r="M174" s="40" t="n"/>
      <c r="N174" s="57" t="n"/>
      <c r="O174" s="35" t="str">
        <f>IF(OR(L174="",N174=""),"",L174*N174)</f>
        <v/>
      </c>
      <c r="P174" s="43" t="n"/>
      <c r="Q174" s="36" t="str">
        <f>IF(OR(O174="",P174=""),"",O174-P174)</f>
        <v/>
      </c>
      <c r="R174" s="40" t="n"/>
      <c r="S174" s="40" t="n"/>
      <c r="T174" s="58" t="n"/>
      <c r="U174" s="42" t="n"/>
      <c r="V174" s="55" t="str">
        <f>IF(OR(U174="",T174=""),"",U174-T174)</f>
        <v/>
      </c>
      <c r="W174" s="40" t="n"/>
      <c r="X174" s="42" t="n"/>
      <c r="Y174" s="40" t="n"/>
      <c r="Z174" s="32" t="str">
        <f>IF(C174="","",IF(OR(W174="Ordered",W174="Received",W174="Installed"),"Ordered",IF(AND(I174&lt;&gt;"",J174&lt;&gt;"",L174&lt;&gt;"",R174&lt;&gt;"",T174&lt;&gt;"",X174&lt;&gt;""),"READY","Missing: "&amp;_xlfn.TEXTJOIN(", ",TRUE,IF(I174="","model",""),IF(J174="","finish",""),IF(L174="","qty",""),IF(R174="","supplier",""),IF(T174="","lead time",""),IF(X174="","approval","")))))</f>
        <v/>
      </c>
      <c r="AA174" s="54" t="str">
        <f>IF(C174="","",IF(OR(W174="Ordered",W174="Received",W174="Installed"),"",IF(AND(G174&lt;&gt;"",X174="",G174&lt;TODAY()),"DECISION OVERDUE",IF(V174="","",IF(V174&lt;TODAY(),"ORDER OVERDUE",IF(V174-TODAY()&lt;=14,"ORDER SOON",""))))))</f>
        <v/>
      </c>
      <c r="AB174" s="35" t="str">
        <f>IF(Q174="","",IF(AND(X174="",Q174&gt;0),Q174,""))</f>
        <v/>
      </c>
      <c r="AC174" s="59" t="n"/>
      <c r="AD174" s="59" t="n"/>
      <c r="AE174" s="60" t="str">
        <f>IF(AND(C174&lt;&gt;"",B174='Client Sign-Off'!$D$7),COUNTIFS($B$6:B174,'Client Sign-Off'!$D$7,$C$6:C174,"?*"),"")</f>
        <v/>
      </c>
    </row>
    <row r="175" ht="18" customHeight="1">
      <c r="A175" s="54" t="str">
        <f>IF(C175="","",ROW()-5)</f>
        <v/>
      </c>
      <c r="B175" s="40" t="n"/>
      <c r="C175" s="40" t="n"/>
      <c r="D175" s="40" t="n"/>
      <c r="E175" s="40" t="n"/>
      <c r="F175" s="40" t="n"/>
      <c r="G175" s="55" t="str">
        <f>IF(F175="","",IFERROR(IF(INDEX(Project!$C$24:$C$27,MATCH(F175,Project!$B$24:$B$27,0))="","",INDEX(Project!$C$24:$C$27,MATCH(F175,Project!$B$24:$B$27,0))),""))</f>
        <v/>
      </c>
      <c r="H175" s="40" t="n"/>
      <c r="I175" s="40" t="n"/>
      <c r="J175" s="40" t="n"/>
      <c r="K175" s="40" t="n"/>
      <c r="L175" s="56" t="n"/>
      <c r="M175" s="40" t="n"/>
      <c r="N175" s="57" t="n"/>
      <c r="O175" s="35" t="str">
        <f>IF(OR(L175="",N175=""),"",L175*N175)</f>
        <v/>
      </c>
      <c r="P175" s="43" t="n"/>
      <c r="Q175" s="36" t="str">
        <f>IF(OR(O175="",P175=""),"",O175-P175)</f>
        <v/>
      </c>
      <c r="R175" s="40" t="n"/>
      <c r="S175" s="40" t="n"/>
      <c r="T175" s="58" t="n"/>
      <c r="U175" s="42" t="n"/>
      <c r="V175" s="55" t="str">
        <f>IF(OR(U175="",T175=""),"",U175-T175)</f>
        <v/>
      </c>
      <c r="W175" s="40" t="n"/>
      <c r="X175" s="42" t="n"/>
      <c r="Y175" s="40" t="n"/>
      <c r="Z175" s="32" t="str">
        <f>IF(C175="","",IF(OR(W175="Ordered",W175="Received",W175="Installed"),"Ordered",IF(AND(I175&lt;&gt;"",J175&lt;&gt;"",L175&lt;&gt;"",R175&lt;&gt;"",T175&lt;&gt;"",X175&lt;&gt;""),"READY","Missing: "&amp;_xlfn.TEXTJOIN(", ",TRUE,IF(I175="","model",""),IF(J175="","finish",""),IF(L175="","qty",""),IF(R175="","supplier",""),IF(T175="","lead time",""),IF(X175="","approval","")))))</f>
        <v/>
      </c>
      <c r="AA175" s="54" t="str">
        <f>IF(C175="","",IF(OR(W175="Ordered",W175="Received",W175="Installed"),"",IF(AND(G175&lt;&gt;"",X175="",G175&lt;TODAY()),"DECISION OVERDUE",IF(V175="","",IF(V175&lt;TODAY(),"ORDER OVERDUE",IF(V175-TODAY()&lt;=14,"ORDER SOON",""))))))</f>
        <v/>
      </c>
      <c r="AB175" s="35" t="str">
        <f>IF(Q175="","",IF(AND(X175="",Q175&gt;0),Q175,""))</f>
        <v/>
      </c>
      <c r="AC175" s="59" t="n"/>
      <c r="AD175" s="59" t="n"/>
      <c r="AE175" s="60" t="str">
        <f>IF(AND(C175&lt;&gt;"",B175='Client Sign-Off'!$D$7),COUNTIFS($B$6:B175,'Client Sign-Off'!$D$7,$C$6:C175,"?*"),"")</f>
        <v/>
      </c>
    </row>
    <row r="176" ht="18" customHeight="1">
      <c r="A176" s="54" t="str">
        <f>IF(C176="","",ROW()-5)</f>
        <v/>
      </c>
      <c r="B176" s="40" t="n"/>
      <c r="C176" s="40" t="n"/>
      <c r="D176" s="40" t="n"/>
      <c r="E176" s="40" t="n"/>
      <c r="F176" s="40" t="n"/>
      <c r="G176" s="55" t="str">
        <f>IF(F176="","",IFERROR(IF(INDEX(Project!$C$24:$C$27,MATCH(F176,Project!$B$24:$B$27,0))="","",INDEX(Project!$C$24:$C$27,MATCH(F176,Project!$B$24:$B$27,0))),""))</f>
        <v/>
      </c>
      <c r="H176" s="40" t="n"/>
      <c r="I176" s="40" t="n"/>
      <c r="J176" s="40" t="n"/>
      <c r="K176" s="40" t="n"/>
      <c r="L176" s="56" t="n"/>
      <c r="M176" s="40" t="n"/>
      <c r="N176" s="57" t="n"/>
      <c r="O176" s="35" t="str">
        <f>IF(OR(L176="",N176=""),"",L176*N176)</f>
        <v/>
      </c>
      <c r="P176" s="43" t="n"/>
      <c r="Q176" s="36" t="str">
        <f>IF(OR(O176="",P176=""),"",O176-P176)</f>
        <v/>
      </c>
      <c r="R176" s="40" t="n"/>
      <c r="S176" s="40" t="n"/>
      <c r="T176" s="58" t="n"/>
      <c r="U176" s="42" t="n"/>
      <c r="V176" s="55" t="str">
        <f>IF(OR(U176="",T176=""),"",U176-T176)</f>
        <v/>
      </c>
      <c r="W176" s="40" t="n"/>
      <c r="X176" s="42" t="n"/>
      <c r="Y176" s="40" t="n"/>
      <c r="Z176" s="32" t="str">
        <f>IF(C176="","",IF(OR(W176="Ordered",W176="Received",W176="Installed"),"Ordered",IF(AND(I176&lt;&gt;"",J176&lt;&gt;"",L176&lt;&gt;"",R176&lt;&gt;"",T176&lt;&gt;"",X176&lt;&gt;""),"READY","Missing: "&amp;_xlfn.TEXTJOIN(", ",TRUE,IF(I176="","model",""),IF(J176="","finish",""),IF(L176="","qty",""),IF(R176="","supplier",""),IF(T176="","lead time",""),IF(X176="","approval","")))))</f>
        <v/>
      </c>
      <c r="AA176" s="54" t="str">
        <f>IF(C176="","",IF(OR(W176="Ordered",W176="Received",W176="Installed"),"",IF(AND(G176&lt;&gt;"",X176="",G176&lt;TODAY()),"DECISION OVERDUE",IF(V176="","",IF(V176&lt;TODAY(),"ORDER OVERDUE",IF(V176-TODAY()&lt;=14,"ORDER SOON",""))))))</f>
        <v/>
      </c>
      <c r="AB176" s="35" t="str">
        <f>IF(Q176="","",IF(AND(X176="",Q176&gt;0),Q176,""))</f>
        <v/>
      </c>
      <c r="AC176" s="59" t="n"/>
      <c r="AD176" s="59" t="n"/>
      <c r="AE176" s="60" t="str">
        <f>IF(AND(C176&lt;&gt;"",B176='Client Sign-Off'!$D$7),COUNTIFS($B$6:B176,'Client Sign-Off'!$D$7,$C$6:C176,"?*"),"")</f>
        <v/>
      </c>
    </row>
    <row r="177" ht="18" customHeight="1">
      <c r="A177" s="54" t="str">
        <f>IF(C177="","",ROW()-5)</f>
        <v/>
      </c>
      <c r="B177" s="40" t="n"/>
      <c r="C177" s="40" t="n"/>
      <c r="D177" s="40" t="n"/>
      <c r="E177" s="40" t="n"/>
      <c r="F177" s="40" t="n"/>
      <c r="G177" s="55" t="str">
        <f>IF(F177="","",IFERROR(IF(INDEX(Project!$C$24:$C$27,MATCH(F177,Project!$B$24:$B$27,0))="","",INDEX(Project!$C$24:$C$27,MATCH(F177,Project!$B$24:$B$27,0))),""))</f>
        <v/>
      </c>
      <c r="H177" s="40" t="n"/>
      <c r="I177" s="40" t="n"/>
      <c r="J177" s="40" t="n"/>
      <c r="K177" s="40" t="n"/>
      <c r="L177" s="56" t="n"/>
      <c r="M177" s="40" t="n"/>
      <c r="N177" s="57" t="n"/>
      <c r="O177" s="35" t="str">
        <f>IF(OR(L177="",N177=""),"",L177*N177)</f>
        <v/>
      </c>
      <c r="P177" s="43" t="n"/>
      <c r="Q177" s="36" t="str">
        <f>IF(OR(O177="",P177=""),"",O177-P177)</f>
        <v/>
      </c>
      <c r="R177" s="40" t="n"/>
      <c r="S177" s="40" t="n"/>
      <c r="T177" s="58" t="n"/>
      <c r="U177" s="42" t="n"/>
      <c r="V177" s="55" t="str">
        <f>IF(OR(U177="",T177=""),"",U177-T177)</f>
        <v/>
      </c>
      <c r="W177" s="40" t="n"/>
      <c r="X177" s="42" t="n"/>
      <c r="Y177" s="40" t="n"/>
      <c r="Z177" s="32" t="str">
        <f>IF(C177="","",IF(OR(W177="Ordered",W177="Received",W177="Installed"),"Ordered",IF(AND(I177&lt;&gt;"",J177&lt;&gt;"",L177&lt;&gt;"",R177&lt;&gt;"",T177&lt;&gt;"",X177&lt;&gt;""),"READY","Missing: "&amp;_xlfn.TEXTJOIN(", ",TRUE,IF(I177="","model",""),IF(J177="","finish",""),IF(L177="","qty",""),IF(R177="","supplier",""),IF(T177="","lead time",""),IF(X177="","approval","")))))</f>
        <v/>
      </c>
      <c r="AA177" s="54" t="str">
        <f>IF(C177="","",IF(OR(W177="Ordered",W177="Received",W177="Installed"),"",IF(AND(G177&lt;&gt;"",X177="",G177&lt;TODAY()),"DECISION OVERDUE",IF(V177="","",IF(V177&lt;TODAY(),"ORDER OVERDUE",IF(V177-TODAY()&lt;=14,"ORDER SOON",""))))))</f>
        <v/>
      </c>
      <c r="AB177" s="35" t="str">
        <f>IF(Q177="","",IF(AND(X177="",Q177&gt;0),Q177,""))</f>
        <v/>
      </c>
      <c r="AC177" s="59" t="n"/>
      <c r="AD177" s="59" t="n"/>
      <c r="AE177" s="60" t="str">
        <f>IF(AND(C177&lt;&gt;"",B177='Client Sign-Off'!$D$7),COUNTIFS($B$6:B177,'Client Sign-Off'!$D$7,$C$6:C177,"?*"),"")</f>
        <v/>
      </c>
    </row>
    <row r="178" ht="18" customHeight="1">
      <c r="A178" s="54" t="str">
        <f>IF(C178="","",ROW()-5)</f>
        <v/>
      </c>
      <c r="B178" s="40" t="n"/>
      <c r="C178" s="40" t="n"/>
      <c r="D178" s="40" t="n"/>
      <c r="E178" s="40" t="n"/>
      <c r="F178" s="40" t="n"/>
      <c r="G178" s="55" t="str">
        <f>IF(F178="","",IFERROR(IF(INDEX(Project!$C$24:$C$27,MATCH(F178,Project!$B$24:$B$27,0))="","",INDEX(Project!$C$24:$C$27,MATCH(F178,Project!$B$24:$B$27,0))),""))</f>
        <v/>
      </c>
      <c r="H178" s="40" t="n"/>
      <c r="I178" s="40" t="n"/>
      <c r="J178" s="40" t="n"/>
      <c r="K178" s="40" t="n"/>
      <c r="L178" s="56" t="n"/>
      <c r="M178" s="40" t="n"/>
      <c r="N178" s="57" t="n"/>
      <c r="O178" s="35" t="str">
        <f>IF(OR(L178="",N178=""),"",L178*N178)</f>
        <v/>
      </c>
      <c r="P178" s="43" t="n"/>
      <c r="Q178" s="36" t="str">
        <f>IF(OR(O178="",P178=""),"",O178-P178)</f>
        <v/>
      </c>
      <c r="R178" s="40" t="n"/>
      <c r="S178" s="40" t="n"/>
      <c r="T178" s="58" t="n"/>
      <c r="U178" s="42" t="n"/>
      <c r="V178" s="55" t="str">
        <f>IF(OR(U178="",T178=""),"",U178-T178)</f>
        <v/>
      </c>
      <c r="W178" s="40" t="n"/>
      <c r="X178" s="42" t="n"/>
      <c r="Y178" s="40" t="n"/>
      <c r="Z178" s="32" t="str">
        <f>IF(C178="","",IF(OR(W178="Ordered",W178="Received",W178="Installed"),"Ordered",IF(AND(I178&lt;&gt;"",J178&lt;&gt;"",L178&lt;&gt;"",R178&lt;&gt;"",T178&lt;&gt;"",X178&lt;&gt;""),"READY","Missing: "&amp;_xlfn.TEXTJOIN(", ",TRUE,IF(I178="","model",""),IF(J178="","finish",""),IF(L178="","qty",""),IF(R178="","supplier",""),IF(T178="","lead time",""),IF(X178="","approval","")))))</f>
        <v/>
      </c>
      <c r="AA178" s="54" t="str">
        <f>IF(C178="","",IF(OR(W178="Ordered",W178="Received",W178="Installed"),"",IF(AND(G178&lt;&gt;"",X178="",G178&lt;TODAY()),"DECISION OVERDUE",IF(V178="","",IF(V178&lt;TODAY(),"ORDER OVERDUE",IF(V178-TODAY()&lt;=14,"ORDER SOON",""))))))</f>
        <v/>
      </c>
      <c r="AB178" s="35" t="str">
        <f>IF(Q178="","",IF(AND(X178="",Q178&gt;0),Q178,""))</f>
        <v/>
      </c>
      <c r="AC178" s="59" t="n"/>
      <c r="AD178" s="59" t="n"/>
      <c r="AE178" s="60" t="str">
        <f>IF(AND(C178&lt;&gt;"",B178='Client Sign-Off'!$D$7),COUNTIFS($B$6:B178,'Client Sign-Off'!$D$7,$C$6:C178,"?*"),"")</f>
        <v/>
      </c>
    </row>
    <row r="179" ht="18" customHeight="1">
      <c r="A179" s="54" t="str">
        <f>IF(C179="","",ROW()-5)</f>
        <v/>
      </c>
      <c r="B179" s="40" t="n"/>
      <c r="C179" s="40" t="n"/>
      <c r="D179" s="40" t="n"/>
      <c r="E179" s="40" t="n"/>
      <c r="F179" s="40" t="n"/>
      <c r="G179" s="55" t="str">
        <f>IF(F179="","",IFERROR(IF(INDEX(Project!$C$24:$C$27,MATCH(F179,Project!$B$24:$B$27,0))="","",INDEX(Project!$C$24:$C$27,MATCH(F179,Project!$B$24:$B$27,0))),""))</f>
        <v/>
      </c>
      <c r="H179" s="40" t="n"/>
      <c r="I179" s="40" t="n"/>
      <c r="J179" s="40" t="n"/>
      <c r="K179" s="40" t="n"/>
      <c r="L179" s="56" t="n"/>
      <c r="M179" s="40" t="n"/>
      <c r="N179" s="57" t="n"/>
      <c r="O179" s="35" t="str">
        <f>IF(OR(L179="",N179=""),"",L179*N179)</f>
        <v/>
      </c>
      <c r="P179" s="43" t="n"/>
      <c r="Q179" s="36" t="str">
        <f>IF(OR(O179="",P179=""),"",O179-P179)</f>
        <v/>
      </c>
      <c r="R179" s="40" t="n"/>
      <c r="S179" s="40" t="n"/>
      <c r="T179" s="58" t="n"/>
      <c r="U179" s="42" t="n"/>
      <c r="V179" s="55" t="str">
        <f>IF(OR(U179="",T179=""),"",U179-T179)</f>
        <v/>
      </c>
      <c r="W179" s="40" t="n"/>
      <c r="X179" s="42" t="n"/>
      <c r="Y179" s="40" t="n"/>
      <c r="Z179" s="32" t="str">
        <f>IF(C179="","",IF(OR(W179="Ordered",W179="Received",W179="Installed"),"Ordered",IF(AND(I179&lt;&gt;"",J179&lt;&gt;"",L179&lt;&gt;"",R179&lt;&gt;"",T179&lt;&gt;"",X179&lt;&gt;""),"READY","Missing: "&amp;_xlfn.TEXTJOIN(", ",TRUE,IF(I179="","model",""),IF(J179="","finish",""),IF(L179="","qty",""),IF(R179="","supplier",""),IF(T179="","lead time",""),IF(X179="","approval","")))))</f>
        <v/>
      </c>
      <c r="AA179" s="54" t="str">
        <f>IF(C179="","",IF(OR(W179="Ordered",W179="Received",W179="Installed"),"",IF(AND(G179&lt;&gt;"",X179="",G179&lt;TODAY()),"DECISION OVERDUE",IF(V179="","",IF(V179&lt;TODAY(),"ORDER OVERDUE",IF(V179-TODAY()&lt;=14,"ORDER SOON",""))))))</f>
        <v/>
      </c>
      <c r="AB179" s="35" t="str">
        <f>IF(Q179="","",IF(AND(X179="",Q179&gt;0),Q179,""))</f>
        <v/>
      </c>
      <c r="AC179" s="59" t="n"/>
      <c r="AD179" s="59" t="n"/>
      <c r="AE179" s="60" t="str">
        <f>IF(AND(C179&lt;&gt;"",B179='Client Sign-Off'!$D$7),COUNTIFS($B$6:B179,'Client Sign-Off'!$D$7,$C$6:C179,"?*"),"")</f>
        <v/>
      </c>
    </row>
    <row r="180" ht="18" customHeight="1">
      <c r="A180" s="54" t="str">
        <f>IF(C180="","",ROW()-5)</f>
        <v/>
      </c>
      <c r="B180" s="40" t="n"/>
      <c r="C180" s="40" t="n"/>
      <c r="D180" s="40" t="n"/>
      <c r="E180" s="40" t="n"/>
      <c r="F180" s="40" t="n"/>
      <c r="G180" s="55" t="str">
        <f>IF(F180="","",IFERROR(IF(INDEX(Project!$C$24:$C$27,MATCH(F180,Project!$B$24:$B$27,0))="","",INDEX(Project!$C$24:$C$27,MATCH(F180,Project!$B$24:$B$27,0))),""))</f>
        <v/>
      </c>
      <c r="H180" s="40" t="n"/>
      <c r="I180" s="40" t="n"/>
      <c r="J180" s="40" t="n"/>
      <c r="K180" s="40" t="n"/>
      <c r="L180" s="56" t="n"/>
      <c r="M180" s="40" t="n"/>
      <c r="N180" s="57" t="n"/>
      <c r="O180" s="35" t="str">
        <f>IF(OR(L180="",N180=""),"",L180*N180)</f>
        <v/>
      </c>
      <c r="P180" s="43" t="n"/>
      <c r="Q180" s="36" t="str">
        <f>IF(OR(O180="",P180=""),"",O180-P180)</f>
        <v/>
      </c>
      <c r="R180" s="40" t="n"/>
      <c r="S180" s="40" t="n"/>
      <c r="T180" s="58" t="n"/>
      <c r="U180" s="42" t="n"/>
      <c r="V180" s="55" t="str">
        <f>IF(OR(U180="",T180=""),"",U180-T180)</f>
        <v/>
      </c>
      <c r="W180" s="40" t="n"/>
      <c r="X180" s="42" t="n"/>
      <c r="Y180" s="40" t="n"/>
      <c r="Z180" s="32" t="str">
        <f>IF(C180="","",IF(OR(W180="Ordered",W180="Received",W180="Installed"),"Ordered",IF(AND(I180&lt;&gt;"",J180&lt;&gt;"",L180&lt;&gt;"",R180&lt;&gt;"",T180&lt;&gt;"",X180&lt;&gt;""),"READY","Missing: "&amp;_xlfn.TEXTJOIN(", ",TRUE,IF(I180="","model",""),IF(J180="","finish",""),IF(L180="","qty",""),IF(R180="","supplier",""),IF(T180="","lead time",""),IF(X180="","approval","")))))</f>
        <v/>
      </c>
      <c r="AA180" s="54" t="str">
        <f>IF(C180="","",IF(OR(W180="Ordered",W180="Received",W180="Installed"),"",IF(AND(G180&lt;&gt;"",X180="",G180&lt;TODAY()),"DECISION OVERDUE",IF(V180="","",IF(V180&lt;TODAY(),"ORDER OVERDUE",IF(V180-TODAY()&lt;=14,"ORDER SOON",""))))))</f>
        <v/>
      </c>
      <c r="AB180" s="35" t="str">
        <f>IF(Q180="","",IF(AND(X180="",Q180&gt;0),Q180,""))</f>
        <v/>
      </c>
      <c r="AC180" s="59" t="n"/>
      <c r="AD180" s="59" t="n"/>
      <c r="AE180" s="60" t="str">
        <f>IF(AND(C180&lt;&gt;"",B180='Client Sign-Off'!$D$7),COUNTIFS($B$6:B180,'Client Sign-Off'!$D$7,$C$6:C180,"?*"),"")</f>
        <v/>
      </c>
    </row>
    <row r="181" ht="18" customHeight="1">
      <c r="A181" s="54" t="str">
        <f>IF(C181="","",ROW()-5)</f>
        <v/>
      </c>
      <c r="B181" s="40" t="n"/>
      <c r="C181" s="40" t="n"/>
      <c r="D181" s="40" t="n"/>
      <c r="E181" s="40" t="n"/>
      <c r="F181" s="40" t="n"/>
      <c r="G181" s="55" t="str">
        <f>IF(F181="","",IFERROR(IF(INDEX(Project!$C$24:$C$27,MATCH(F181,Project!$B$24:$B$27,0))="","",INDEX(Project!$C$24:$C$27,MATCH(F181,Project!$B$24:$B$27,0))),""))</f>
        <v/>
      </c>
      <c r="H181" s="40" t="n"/>
      <c r="I181" s="40" t="n"/>
      <c r="J181" s="40" t="n"/>
      <c r="K181" s="40" t="n"/>
      <c r="L181" s="56" t="n"/>
      <c r="M181" s="40" t="n"/>
      <c r="N181" s="57" t="n"/>
      <c r="O181" s="35" t="str">
        <f>IF(OR(L181="",N181=""),"",L181*N181)</f>
        <v/>
      </c>
      <c r="P181" s="43" t="n"/>
      <c r="Q181" s="36" t="str">
        <f>IF(OR(O181="",P181=""),"",O181-P181)</f>
        <v/>
      </c>
      <c r="R181" s="40" t="n"/>
      <c r="S181" s="40" t="n"/>
      <c r="T181" s="58" t="n"/>
      <c r="U181" s="42" t="n"/>
      <c r="V181" s="55" t="str">
        <f>IF(OR(U181="",T181=""),"",U181-T181)</f>
        <v/>
      </c>
      <c r="W181" s="40" t="n"/>
      <c r="X181" s="42" t="n"/>
      <c r="Y181" s="40" t="n"/>
      <c r="Z181" s="32" t="str">
        <f>IF(C181="","",IF(OR(W181="Ordered",W181="Received",W181="Installed"),"Ordered",IF(AND(I181&lt;&gt;"",J181&lt;&gt;"",L181&lt;&gt;"",R181&lt;&gt;"",T181&lt;&gt;"",X181&lt;&gt;""),"READY","Missing: "&amp;_xlfn.TEXTJOIN(", ",TRUE,IF(I181="","model",""),IF(J181="","finish",""),IF(L181="","qty",""),IF(R181="","supplier",""),IF(T181="","lead time",""),IF(X181="","approval","")))))</f>
        <v/>
      </c>
      <c r="AA181" s="54" t="str">
        <f>IF(C181="","",IF(OR(W181="Ordered",W181="Received",W181="Installed"),"",IF(AND(G181&lt;&gt;"",X181="",G181&lt;TODAY()),"DECISION OVERDUE",IF(V181="","",IF(V181&lt;TODAY(),"ORDER OVERDUE",IF(V181-TODAY()&lt;=14,"ORDER SOON",""))))))</f>
        <v/>
      </c>
      <c r="AB181" s="35" t="str">
        <f>IF(Q181="","",IF(AND(X181="",Q181&gt;0),Q181,""))</f>
        <v/>
      </c>
      <c r="AC181" s="59" t="n"/>
      <c r="AD181" s="59" t="n"/>
      <c r="AE181" s="60" t="str">
        <f>IF(AND(C181&lt;&gt;"",B181='Client Sign-Off'!$D$7),COUNTIFS($B$6:B181,'Client Sign-Off'!$D$7,$C$6:C181,"?*"),"")</f>
        <v/>
      </c>
    </row>
    <row r="182" ht="18" customHeight="1">
      <c r="A182" s="54" t="str">
        <f>IF(C182="","",ROW()-5)</f>
        <v/>
      </c>
      <c r="B182" s="40" t="n"/>
      <c r="C182" s="40" t="n"/>
      <c r="D182" s="40" t="n"/>
      <c r="E182" s="40" t="n"/>
      <c r="F182" s="40" t="n"/>
      <c r="G182" s="55" t="str">
        <f>IF(F182="","",IFERROR(IF(INDEX(Project!$C$24:$C$27,MATCH(F182,Project!$B$24:$B$27,0))="","",INDEX(Project!$C$24:$C$27,MATCH(F182,Project!$B$24:$B$27,0))),""))</f>
        <v/>
      </c>
      <c r="H182" s="40" t="n"/>
      <c r="I182" s="40" t="n"/>
      <c r="J182" s="40" t="n"/>
      <c r="K182" s="40" t="n"/>
      <c r="L182" s="56" t="n"/>
      <c r="M182" s="40" t="n"/>
      <c r="N182" s="57" t="n"/>
      <c r="O182" s="35" t="str">
        <f>IF(OR(L182="",N182=""),"",L182*N182)</f>
        <v/>
      </c>
      <c r="P182" s="43" t="n"/>
      <c r="Q182" s="36" t="str">
        <f>IF(OR(O182="",P182=""),"",O182-P182)</f>
        <v/>
      </c>
      <c r="R182" s="40" t="n"/>
      <c r="S182" s="40" t="n"/>
      <c r="T182" s="58" t="n"/>
      <c r="U182" s="42" t="n"/>
      <c r="V182" s="55" t="str">
        <f>IF(OR(U182="",T182=""),"",U182-T182)</f>
        <v/>
      </c>
      <c r="W182" s="40" t="n"/>
      <c r="X182" s="42" t="n"/>
      <c r="Y182" s="40" t="n"/>
      <c r="Z182" s="32" t="str">
        <f>IF(C182="","",IF(OR(W182="Ordered",W182="Received",W182="Installed"),"Ordered",IF(AND(I182&lt;&gt;"",J182&lt;&gt;"",L182&lt;&gt;"",R182&lt;&gt;"",T182&lt;&gt;"",X182&lt;&gt;""),"READY","Missing: "&amp;_xlfn.TEXTJOIN(", ",TRUE,IF(I182="","model",""),IF(J182="","finish",""),IF(L182="","qty",""),IF(R182="","supplier",""),IF(T182="","lead time",""),IF(X182="","approval","")))))</f>
        <v/>
      </c>
      <c r="AA182" s="54" t="str">
        <f>IF(C182="","",IF(OR(W182="Ordered",W182="Received",W182="Installed"),"",IF(AND(G182&lt;&gt;"",X182="",G182&lt;TODAY()),"DECISION OVERDUE",IF(V182="","",IF(V182&lt;TODAY(),"ORDER OVERDUE",IF(V182-TODAY()&lt;=14,"ORDER SOON",""))))))</f>
        <v/>
      </c>
      <c r="AB182" s="35" t="str">
        <f>IF(Q182="","",IF(AND(X182="",Q182&gt;0),Q182,""))</f>
        <v/>
      </c>
      <c r="AC182" s="59" t="n"/>
      <c r="AD182" s="59" t="n"/>
      <c r="AE182" s="60" t="str">
        <f>IF(AND(C182&lt;&gt;"",B182='Client Sign-Off'!$D$7),COUNTIFS($B$6:B182,'Client Sign-Off'!$D$7,$C$6:C182,"?*"),"")</f>
        <v/>
      </c>
    </row>
    <row r="183" ht="18" customHeight="1">
      <c r="A183" s="54" t="str">
        <f>IF(C183="","",ROW()-5)</f>
        <v/>
      </c>
      <c r="B183" s="40" t="n"/>
      <c r="C183" s="40" t="n"/>
      <c r="D183" s="40" t="n"/>
      <c r="E183" s="40" t="n"/>
      <c r="F183" s="40" t="n"/>
      <c r="G183" s="55" t="str">
        <f>IF(F183="","",IFERROR(IF(INDEX(Project!$C$24:$C$27,MATCH(F183,Project!$B$24:$B$27,0))="","",INDEX(Project!$C$24:$C$27,MATCH(F183,Project!$B$24:$B$27,0))),""))</f>
        <v/>
      </c>
      <c r="H183" s="40" t="n"/>
      <c r="I183" s="40" t="n"/>
      <c r="J183" s="40" t="n"/>
      <c r="K183" s="40" t="n"/>
      <c r="L183" s="56" t="n"/>
      <c r="M183" s="40" t="n"/>
      <c r="N183" s="57" t="n"/>
      <c r="O183" s="35" t="str">
        <f>IF(OR(L183="",N183=""),"",L183*N183)</f>
        <v/>
      </c>
      <c r="P183" s="43" t="n"/>
      <c r="Q183" s="36" t="str">
        <f>IF(OR(O183="",P183=""),"",O183-P183)</f>
        <v/>
      </c>
      <c r="R183" s="40" t="n"/>
      <c r="S183" s="40" t="n"/>
      <c r="T183" s="58" t="n"/>
      <c r="U183" s="42" t="n"/>
      <c r="V183" s="55" t="str">
        <f>IF(OR(U183="",T183=""),"",U183-T183)</f>
        <v/>
      </c>
      <c r="W183" s="40" t="n"/>
      <c r="X183" s="42" t="n"/>
      <c r="Y183" s="40" t="n"/>
      <c r="Z183" s="32" t="str">
        <f>IF(C183="","",IF(OR(W183="Ordered",W183="Received",W183="Installed"),"Ordered",IF(AND(I183&lt;&gt;"",J183&lt;&gt;"",L183&lt;&gt;"",R183&lt;&gt;"",T183&lt;&gt;"",X183&lt;&gt;""),"READY","Missing: "&amp;_xlfn.TEXTJOIN(", ",TRUE,IF(I183="","model",""),IF(J183="","finish",""),IF(L183="","qty",""),IF(R183="","supplier",""),IF(T183="","lead time",""),IF(X183="","approval","")))))</f>
        <v/>
      </c>
      <c r="AA183" s="54" t="str">
        <f>IF(C183="","",IF(OR(W183="Ordered",W183="Received",W183="Installed"),"",IF(AND(G183&lt;&gt;"",X183="",G183&lt;TODAY()),"DECISION OVERDUE",IF(V183="","",IF(V183&lt;TODAY(),"ORDER OVERDUE",IF(V183-TODAY()&lt;=14,"ORDER SOON",""))))))</f>
        <v/>
      </c>
      <c r="AB183" s="35" t="str">
        <f>IF(Q183="","",IF(AND(X183="",Q183&gt;0),Q183,""))</f>
        <v/>
      </c>
      <c r="AC183" s="59" t="n"/>
      <c r="AD183" s="59" t="n"/>
      <c r="AE183" s="60" t="str">
        <f>IF(AND(C183&lt;&gt;"",B183='Client Sign-Off'!$D$7),COUNTIFS($B$6:B183,'Client Sign-Off'!$D$7,$C$6:C183,"?*"),"")</f>
        <v/>
      </c>
    </row>
    <row r="184" ht="18" customHeight="1">
      <c r="A184" s="54" t="str">
        <f>IF(C184="","",ROW()-5)</f>
        <v/>
      </c>
      <c r="B184" s="40" t="n"/>
      <c r="C184" s="40" t="n"/>
      <c r="D184" s="40" t="n"/>
      <c r="E184" s="40" t="n"/>
      <c r="F184" s="40" t="n"/>
      <c r="G184" s="55" t="str">
        <f>IF(F184="","",IFERROR(IF(INDEX(Project!$C$24:$C$27,MATCH(F184,Project!$B$24:$B$27,0))="","",INDEX(Project!$C$24:$C$27,MATCH(F184,Project!$B$24:$B$27,0))),""))</f>
        <v/>
      </c>
      <c r="H184" s="40" t="n"/>
      <c r="I184" s="40" t="n"/>
      <c r="J184" s="40" t="n"/>
      <c r="K184" s="40" t="n"/>
      <c r="L184" s="56" t="n"/>
      <c r="M184" s="40" t="n"/>
      <c r="N184" s="57" t="n"/>
      <c r="O184" s="35" t="str">
        <f>IF(OR(L184="",N184=""),"",L184*N184)</f>
        <v/>
      </c>
      <c r="P184" s="43" t="n"/>
      <c r="Q184" s="36" t="str">
        <f>IF(OR(O184="",P184=""),"",O184-P184)</f>
        <v/>
      </c>
      <c r="R184" s="40" t="n"/>
      <c r="S184" s="40" t="n"/>
      <c r="T184" s="58" t="n"/>
      <c r="U184" s="42" t="n"/>
      <c r="V184" s="55" t="str">
        <f>IF(OR(U184="",T184=""),"",U184-T184)</f>
        <v/>
      </c>
      <c r="W184" s="40" t="n"/>
      <c r="X184" s="42" t="n"/>
      <c r="Y184" s="40" t="n"/>
      <c r="Z184" s="32" t="str">
        <f>IF(C184="","",IF(OR(W184="Ordered",W184="Received",W184="Installed"),"Ordered",IF(AND(I184&lt;&gt;"",J184&lt;&gt;"",L184&lt;&gt;"",R184&lt;&gt;"",T184&lt;&gt;"",X184&lt;&gt;""),"READY","Missing: "&amp;_xlfn.TEXTJOIN(", ",TRUE,IF(I184="","model",""),IF(J184="","finish",""),IF(L184="","qty",""),IF(R184="","supplier",""),IF(T184="","lead time",""),IF(X184="","approval","")))))</f>
        <v/>
      </c>
      <c r="AA184" s="54" t="str">
        <f>IF(C184="","",IF(OR(W184="Ordered",W184="Received",W184="Installed"),"",IF(AND(G184&lt;&gt;"",X184="",G184&lt;TODAY()),"DECISION OVERDUE",IF(V184="","",IF(V184&lt;TODAY(),"ORDER OVERDUE",IF(V184-TODAY()&lt;=14,"ORDER SOON",""))))))</f>
        <v/>
      </c>
      <c r="AB184" s="35" t="str">
        <f>IF(Q184="","",IF(AND(X184="",Q184&gt;0),Q184,""))</f>
        <v/>
      </c>
      <c r="AC184" s="59" t="n"/>
      <c r="AD184" s="59" t="n"/>
      <c r="AE184" s="60" t="str">
        <f>IF(AND(C184&lt;&gt;"",B184='Client Sign-Off'!$D$7),COUNTIFS($B$6:B184,'Client Sign-Off'!$D$7,$C$6:C184,"?*"),"")</f>
        <v/>
      </c>
    </row>
    <row r="185" ht="18" customHeight="1">
      <c r="A185" s="54" t="str">
        <f>IF(C185="","",ROW()-5)</f>
        <v/>
      </c>
      <c r="B185" s="40" t="n"/>
      <c r="C185" s="40" t="n"/>
      <c r="D185" s="40" t="n"/>
      <c r="E185" s="40" t="n"/>
      <c r="F185" s="40" t="n"/>
      <c r="G185" s="55" t="str">
        <f>IF(F185="","",IFERROR(IF(INDEX(Project!$C$24:$C$27,MATCH(F185,Project!$B$24:$B$27,0))="","",INDEX(Project!$C$24:$C$27,MATCH(F185,Project!$B$24:$B$27,0))),""))</f>
        <v/>
      </c>
      <c r="H185" s="40" t="n"/>
      <c r="I185" s="40" t="n"/>
      <c r="J185" s="40" t="n"/>
      <c r="K185" s="40" t="n"/>
      <c r="L185" s="56" t="n"/>
      <c r="M185" s="40" t="n"/>
      <c r="N185" s="57" t="n"/>
      <c r="O185" s="35" t="str">
        <f>IF(OR(L185="",N185=""),"",L185*N185)</f>
        <v/>
      </c>
      <c r="P185" s="43" t="n"/>
      <c r="Q185" s="36" t="str">
        <f>IF(OR(O185="",P185=""),"",O185-P185)</f>
        <v/>
      </c>
      <c r="R185" s="40" t="n"/>
      <c r="S185" s="40" t="n"/>
      <c r="T185" s="58" t="n"/>
      <c r="U185" s="42" t="n"/>
      <c r="V185" s="55" t="str">
        <f>IF(OR(U185="",T185=""),"",U185-T185)</f>
        <v/>
      </c>
      <c r="W185" s="40" t="n"/>
      <c r="X185" s="42" t="n"/>
      <c r="Y185" s="40" t="n"/>
      <c r="Z185" s="32" t="str">
        <f>IF(C185="","",IF(OR(W185="Ordered",W185="Received",W185="Installed"),"Ordered",IF(AND(I185&lt;&gt;"",J185&lt;&gt;"",L185&lt;&gt;"",R185&lt;&gt;"",T185&lt;&gt;"",X185&lt;&gt;""),"READY","Missing: "&amp;_xlfn.TEXTJOIN(", ",TRUE,IF(I185="","model",""),IF(J185="","finish",""),IF(L185="","qty",""),IF(R185="","supplier",""),IF(T185="","lead time",""),IF(X185="","approval","")))))</f>
        <v/>
      </c>
      <c r="AA185" s="54" t="str">
        <f>IF(C185="","",IF(OR(W185="Ordered",W185="Received",W185="Installed"),"",IF(AND(G185&lt;&gt;"",X185="",G185&lt;TODAY()),"DECISION OVERDUE",IF(V185="","",IF(V185&lt;TODAY(),"ORDER OVERDUE",IF(V185-TODAY()&lt;=14,"ORDER SOON",""))))))</f>
        <v/>
      </c>
      <c r="AB185" s="35" t="str">
        <f>IF(Q185="","",IF(AND(X185="",Q185&gt;0),Q185,""))</f>
        <v/>
      </c>
      <c r="AC185" s="59" t="n"/>
      <c r="AD185" s="59" t="n"/>
      <c r="AE185" s="60" t="str">
        <f>IF(AND(C185&lt;&gt;"",B185='Client Sign-Off'!$D$7),COUNTIFS($B$6:B185,'Client Sign-Off'!$D$7,$C$6:C185,"?*"),"")</f>
        <v/>
      </c>
    </row>
    <row r="186" ht="18" customHeight="1">
      <c r="A186" s="54" t="str">
        <f>IF(C186="","",ROW()-5)</f>
        <v/>
      </c>
      <c r="B186" s="40" t="n"/>
      <c r="C186" s="40" t="n"/>
      <c r="D186" s="40" t="n"/>
      <c r="E186" s="40" t="n"/>
      <c r="F186" s="40" t="n"/>
      <c r="G186" s="55" t="str">
        <f>IF(F186="","",IFERROR(IF(INDEX(Project!$C$24:$C$27,MATCH(F186,Project!$B$24:$B$27,0))="","",INDEX(Project!$C$24:$C$27,MATCH(F186,Project!$B$24:$B$27,0))),""))</f>
        <v/>
      </c>
      <c r="H186" s="40" t="n"/>
      <c r="I186" s="40" t="n"/>
      <c r="J186" s="40" t="n"/>
      <c r="K186" s="40" t="n"/>
      <c r="L186" s="56" t="n"/>
      <c r="M186" s="40" t="n"/>
      <c r="N186" s="57" t="n"/>
      <c r="O186" s="35" t="str">
        <f>IF(OR(L186="",N186=""),"",L186*N186)</f>
        <v/>
      </c>
      <c r="P186" s="43" t="n"/>
      <c r="Q186" s="36" t="str">
        <f>IF(OR(O186="",P186=""),"",O186-P186)</f>
        <v/>
      </c>
      <c r="R186" s="40" t="n"/>
      <c r="S186" s="40" t="n"/>
      <c r="T186" s="58" t="n"/>
      <c r="U186" s="42" t="n"/>
      <c r="V186" s="55" t="str">
        <f>IF(OR(U186="",T186=""),"",U186-T186)</f>
        <v/>
      </c>
      <c r="W186" s="40" t="n"/>
      <c r="X186" s="42" t="n"/>
      <c r="Y186" s="40" t="n"/>
      <c r="Z186" s="32" t="str">
        <f>IF(C186="","",IF(OR(W186="Ordered",W186="Received",W186="Installed"),"Ordered",IF(AND(I186&lt;&gt;"",J186&lt;&gt;"",L186&lt;&gt;"",R186&lt;&gt;"",T186&lt;&gt;"",X186&lt;&gt;""),"READY","Missing: "&amp;_xlfn.TEXTJOIN(", ",TRUE,IF(I186="","model",""),IF(J186="","finish",""),IF(L186="","qty",""),IF(R186="","supplier",""),IF(T186="","lead time",""),IF(X186="","approval","")))))</f>
        <v/>
      </c>
      <c r="AA186" s="54" t="str">
        <f>IF(C186="","",IF(OR(W186="Ordered",W186="Received",W186="Installed"),"",IF(AND(G186&lt;&gt;"",X186="",G186&lt;TODAY()),"DECISION OVERDUE",IF(V186="","",IF(V186&lt;TODAY(),"ORDER OVERDUE",IF(V186-TODAY()&lt;=14,"ORDER SOON",""))))))</f>
        <v/>
      </c>
      <c r="AB186" s="35" t="str">
        <f>IF(Q186="","",IF(AND(X186="",Q186&gt;0),Q186,""))</f>
        <v/>
      </c>
      <c r="AC186" s="59" t="n"/>
      <c r="AD186" s="59" t="n"/>
      <c r="AE186" s="60" t="str">
        <f>IF(AND(C186&lt;&gt;"",B186='Client Sign-Off'!$D$7),COUNTIFS($B$6:B186,'Client Sign-Off'!$D$7,$C$6:C186,"?*"),"")</f>
        <v/>
      </c>
    </row>
    <row r="187" ht="18" customHeight="1">
      <c r="A187" s="54" t="str">
        <f>IF(C187="","",ROW()-5)</f>
        <v/>
      </c>
      <c r="B187" s="40" t="n"/>
      <c r="C187" s="40" t="n"/>
      <c r="D187" s="40" t="n"/>
      <c r="E187" s="40" t="n"/>
      <c r="F187" s="40" t="n"/>
      <c r="G187" s="55" t="str">
        <f>IF(F187="","",IFERROR(IF(INDEX(Project!$C$24:$C$27,MATCH(F187,Project!$B$24:$B$27,0))="","",INDEX(Project!$C$24:$C$27,MATCH(F187,Project!$B$24:$B$27,0))),""))</f>
        <v/>
      </c>
      <c r="H187" s="40" t="n"/>
      <c r="I187" s="40" t="n"/>
      <c r="J187" s="40" t="n"/>
      <c r="K187" s="40" t="n"/>
      <c r="L187" s="56" t="n"/>
      <c r="M187" s="40" t="n"/>
      <c r="N187" s="57" t="n"/>
      <c r="O187" s="35" t="str">
        <f>IF(OR(L187="",N187=""),"",L187*N187)</f>
        <v/>
      </c>
      <c r="P187" s="43" t="n"/>
      <c r="Q187" s="36" t="str">
        <f>IF(OR(O187="",P187=""),"",O187-P187)</f>
        <v/>
      </c>
      <c r="R187" s="40" t="n"/>
      <c r="S187" s="40" t="n"/>
      <c r="T187" s="58" t="n"/>
      <c r="U187" s="42" t="n"/>
      <c r="V187" s="55" t="str">
        <f>IF(OR(U187="",T187=""),"",U187-T187)</f>
        <v/>
      </c>
      <c r="W187" s="40" t="n"/>
      <c r="X187" s="42" t="n"/>
      <c r="Y187" s="40" t="n"/>
      <c r="Z187" s="32" t="str">
        <f>IF(C187="","",IF(OR(W187="Ordered",W187="Received",W187="Installed"),"Ordered",IF(AND(I187&lt;&gt;"",J187&lt;&gt;"",L187&lt;&gt;"",R187&lt;&gt;"",T187&lt;&gt;"",X187&lt;&gt;""),"READY","Missing: "&amp;_xlfn.TEXTJOIN(", ",TRUE,IF(I187="","model",""),IF(J187="","finish",""),IF(L187="","qty",""),IF(R187="","supplier",""),IF(T187="","lead time",""),IF(X187="","approval","")))))</f>
        <v/>
      </c>
      <c r="AA187" s="54" t="str">
        <f>IF(C187="","",IF(OR(W187="Ordered",W187="Received",W187="Installed"),"",IF(AND(G187&lt;&gt;"",X187="",G187&lt;TODAY()),"DECISION OVERDUE",IF(V187="","",IF(V187&lt;TODAY(),"ORDER OVERDUE",IF(V187-TODAY()&lt;=14,"ORDER SOON",""))))))</f>
        <v/>
      </c>
      <c r="AB187" s="35" t="str">
        <f>IF(Q187="","",IF(AND(X187="",Q187&gt;0),Q187,""))</f>
        <v/>
      </c>
      <c r="AC187" s="59" t="n"/>
      <c r="AD187" s="59" t="n"/>
      <c r="AE187" s="60" t="str">
        <f>IF(AND(C187&lt;&gt;"",B187='Client Sign-Off'!$D$7),COUNTIFS($B$6:B187,'Client Sign-Off'!$D$7,$C$6:C187,"?*"),"")</f>
        <v/>
      </c>
    </row>
    <row r="188" ht="18" customHeight="1">
      <c r="A188" s="54" t="str">
        <f>IF(C188="","",ROW()-5)</f>
        <v/>
      </c>
      <c r="B188" s="40" t="n"/>
      <c r="C188" s="40" t="n"/>
      <c r="D188" s="40" t="n"/>
      <c r="E188" s="40" t="n"/>
      <c r="F188" s="40" t="n"/>
      <c r="G188" s="55" t="str">
        <f>IF(F188="","",IFERROR(IF(INDEX(Project!$C$24:$C$27,MATCH(F188,Project!$B$24:$B$27,0))="","",INDEX(Project!$C$24:$C$27,MATCH(F188,Project!$B$24:$B$27,0))),""))</f>
        <v/>
      </c>
      <c r="H188" s="40" t="n"/>
      <c r="I188" s="40" t="n"/>
      <c r="J188" s="40" t="n"/>
      <c r="K188" s="40" t="n"/>
      <c r="L188" s="56" t="n"/>
      <c r="M188" s="40" t="n"/>
      <c r="N188" s="57" t="n"/>
      <c r="O188" s="35" t="str">
        <f>IF(OR(L188="",N188=""),"",L188*N188)</f>
        <v/>
      </c>
      <c r="P188" s="43" t="n"/>
      <c r="Q188" s="36" t="str">
        <f>IF(OR(O188="",P188=""),"",O188-P188)</f>
        <v/>
      </c>
      <c r="R188" s="40" t="n"/>
      <c r="S188" s="40" t="n"/>
      <c r="T188" s="58" t="n"/>
      <c r="U188" s="42" t="n"/>
      <c r="V188" s="55" t="str">
        <f>IF(OR(U188="",T188=""),"",U188-T188)</f>
        <v/>
      </c>
      <c r="W188" s="40" t="n"/>
      <c r="X188" s="42" t="n"/>
      <c r="Y188" s="40" t="n"/>
      <c r="Z188" s="32" t="str">
        <f>IF(C188="","",IF(OR(W188="Ordered",W188="Received",W188="Installed"),"Ordered",IF(AND(I188&lt;&gt;"",J188&lt;&gt;"",L188&lt;&gt;"",R188&lt;&gt;"",T188&lt;&gt;"",X188&lt;&gt;""),"READY","Missing: "&amp;_xlfn.TEXTJOIN(", ",TRUE,IF(I188="","model",""),IF(J188="","finish",""),IF(L188="","qty",""),IF(R188="","supplier",""),IF(T188="","lead time",""),IF(X188="","approval","")))))</f>
        <v/>
      </c>
      <c r="AA188" s="54" t="str">
        <f>IF(C188="","",IF(OR(W188="Ordered",W188="Received",W188="Installed"),"",IF(AND(G188&lt;&gt;"",X188="",G188&lt;TODAY()),"DECISION OVERDUE",IF(V188="","",IF(V188&lt;TODAY(),"ORDER OVERDUE",IF(V188-TODAY()&lt;=14,"ORDER SOON",""))))))</f>
        <v/>
      </c>
      <c r="AB188" s="35" t="str">
        <f>IF(Q188="","",IF(AND(X188="",Q188&gt;0),Q188,""))</f>
        <v/>
      </c>
      <c r="AC188" s="59" t="n"/>
      <c r="AD188" s="59" t="n"/>
      <c r="AE188" s="60" t="str">
        <f>IF(AND(C188&lt;&gt;"",B188='Client Sign-Off'!$D$7),COUNTIFS($B$6:B188,'Client Sign-Off'!$D$7,$C$6:C188,"?*"),"")</f>
        <v/>
      </c>
    </row>
    <row r="189" ht="18" customHeight="1">
      <c r="A189" s="54" t="str">
        <f>IF(C189="","",ROW()-5)</f>
        <v/>
      </c>
      <c r="B189" s="40" t="n"/>
      <c r="C189" s="40" t="n"/>
      <c r="D189" s="40" t="n"/>
      <c r="E189" s="40" t="n"/>
      <c r="F189" s="40" t="n"/>
      <c r="G189" s="55" t="str">
        <f>IF(F189="","",IFERROR(IF(INDEX(Project!$C$24:$C$27,MATCH(F189,Project!$B$24:$B$27,0))="","",INDEX(Project!$C$24:$C$27,MATCH(F189,Project!$B$24:$B$27,0))),""))</f>
        <v/>
      </c>
      <c r="H189" s="40" t="n"/>
      <c r="I189" s="40" t="n"/>
      <c r="J189" s="40" t="n"/>
      <c r="K189" s="40" t="n"/>
      <c r="L189" s="56" t="n"/>
      <c r="M189" s="40" t="n"/>
      <c r="N189" s="57" t="n"/>
      <c r="O189" s="35" t="str">
        <f>IF(OR(L189="",N189=""),"",L189*N189)</f>
        <v/>
      </c>
      <c r="P189" s="43" t="n"/>
      <c r="Q189" s="36" t="str">
        <f>IF(OR(O189="",P189=""),"",O189-P189)</f>
        <v/>
      </c>
      <c r="R189" s="40" t="n"/>
      <c r="S189" s="40" t="n"/>
      <c r="T189" s="58" t="n"/>
      <c r="U189" s="42" t="n"/>
      <c r="V189" s="55" t="str">
        <f>IF(OR(U189="",T189=""),"",U189-T189)</f>
        <v/>
      </c>
      <c r="W189" s="40" t="n"/>
      <c r="X189" s="42" t="n"/>
      <c r="Y189" s="40" t="n"/>
      <c r="Z189" s="32" t="str">
        <f>IF(C189="","",IF(OR(W189="Ordered",W189="Received",W189="Installed"),"Ordered",IF(AND(I189&lt;&gt;"",J189&lt;&gt;"",L189&lt;&gt;"",R189&lt;&gt;"",T189&lt;&gt;"",X189&lt;&gt;""),"READY","Missing: "&amp;_xlfn.TEXTJOIN(", ",TRUE,IF(I189="","model",""),IF(J189="","finish",""),IF(L189="","qty",""),IF(R189="","supplier",""),IF(T189="","lead time",""),IF(X189="","approval","")))))</f>
        <v/>
      </c>
      <c r="AA189" s="54" t="str">
        <f>IF(C189="","",IF(OR(W189="Ordered",W189="Received",W189="Installed"),"",IF(AND(G189&lt;&gt;"",X189="",G189&lt;TODAY()),"DECISION OVERDUE",IF(V189="","",IF(V189&lt;TODAY(),"ORDER OVERDUE",IF(V189-TODAY()&lt;=14,"ORDER SOON",""))))))</f>
        <v/>
      </c>
      <c r="AB189" s="35" t="str">
        <f>IF(Q189="","",IF(AND(X189="",Q189&gt;0),Q189,""))</f>
        <v/>
      </c>
      <c r="AC189" s="59" t="n"/>
      <c r="AD189" s="59" t="n"/>
      <c r="AE189" s="60" t="str">
        <f>IF(AND(C189&lt;&gt;"",B189='Client Sign-Off'!$D$7),COUNTIFS($B$6:B189,'Client Sign-Off'!$D$7,$C$6:C189,"?*"),"")</f>
        <v/>
      </c>
    </row>
    <row r="190" ht="18" customHeight="1">
      <c r="A190" s="54" t="str">
        <f>IF(C190="","",ROW()-5)</f>
        <v/>
      </c>
      <c r="B190" s="40" t="n"/>
      <c r="C190" s="40" t="n"/>
      <c r="D190" s="40" t="n"/>
      <c r="E190" s="40" t="n"/>
      <c r="F190" s="40" t="n"/>
      <c r="G190" s="55" t="str">
        <f>IF(F190="","",IFERROR(IF(INDEX(Project!$C$24:$C$27,MATCH(F190,Project!$B$24:$B$27,0))="","",INDEX(Project!$C$24:$C$27,MATCH(F190,Project!$B$24:$B$27,0))),""))</f>
        <v/>
      </c>
      <c r="H190" s="40" t="n"/>
      <c r="I190" s="40" t="n"/>
      <c r="J190" s="40" t="n"/>
      <c r="K190" s="40" t="n"/>
      <c r="L190" s="56" t="n"/>
      <c r="M190" s="40" t="n"/>
      <c r="N190" s="57" t="n"/>
      <c r="O190" s="35" t="str">
        <f>IF(OR(L190="",N190=""),"",L190*N190)</f>
        <v/>
      </c>
      <c r="P190" s="43" t="n"/>
      <c r="Q190" s="36" t="str">
        <f>IF(OR(O190="",P190=""),"",O190-P190)</f>
        <v/>
      </c>
      <c r="R190" s="40" t="n"/>
      <c r="S190" s="40" t="n"/>
      <c r="T190" s="58" t="n"/>
      <c r="U190" s="42" t="n"/>
      <c r="V190" s="55" t="str">
        <f>IF(OR(U190="",T190=""),"",U190-T190)</f>
        <v/>
      </c>
      <c r="W190" s="40" t="n"/>
      <c r="X190" s="42" t="n"/>
      <c r="Y190" s="40" t="n"/>
      <c r="Z190" s="32" t="str">
        <f>IF(C190="","",IF(OR(W190="Ordered",W190="Received",W190="Installed"),"Ordered",IF(AND(I190&lt;&gt;"",J190&lt;&gt;"",L190&lt;&gt;"",R190&lt;&gt;"",T190&lt;&gt;"",X190&lt;&gt;""),"READY","Missing: "&amp;_xlfn.TEXTJOIN(", ",TRUE,IF(I190="","model",""),IF(J190="","finish",""),IF(L190="","qty",""),IF(R190="","supplier",""),IF(T190="","lead time",""),IF(X190="","approval","")))))</f>
        <v/>
      </c>
      <c r="AA190" s="54" t="str">
        <f>IF(C190="","",IF(OR(W190="Ordered",W190="Received",W190="Installed"),"",IF(AND(G190&lt;&gt;"",X190="",G190&lt;TODAY()),"DECISION OVERDUE",IF(V190="","",IF(V190&lt;TODAY(),"ORDER OVERDUE",IF(V190-TODAY()&lt;=14,"ORDER SOON",""))))))</f>
        <v/>
      </c>
      <c r="AB190" s="35" t="str">
        <f>IF(Q190="","",IF(AND(X190="",Q190&gt;0),Q190,""))</f>
        <v/>
      </c>
      <c r="AC190" s="59" t="n"/>
      <c r="AD190" s="59" t="n"/>
      <c r="AE190" s="60" t="str">
        <f>IF(AND(C190&lt;&gt;"",B190='Client Sign-Off'!$D$7),COUNTIFS($B$6:B190,'Client Sign-Off'!$D$7,$C$6:C190,"?*"),"")</f>
        <v/>
      </c>
    </row>
    <row r="191" ht="18" customHeight="1">
      <c r="A191" s="54" t="str">
        <f>IF(C191="","",ROW()-5)</f>
        <v/>
      </c>
      <c r="B191" s="40" t="n"/>
      <c r="C191" s="40" t="n"/>
      <c r="D191" s="40" t="n"/>
      <c r="E191" s="40" t="n"/>
      <c r="F191" s="40" t="n"/>
      <c r="G191" s="55" t="str">
        <f>IF(F191="","",IFERROR(IF(INDEX(Project!$C$24:$C$27,MATCH(F191,Project!$B$24:$B$27,0))="","",INDEX(Project!$C$24:$C$27,MATCH(F191,Project!$B$24:$B$27,0))),""))</f>
        <v/>
      </c>
      <c r="H191" s="40" t="n"/>
      <c r="I191" s="40" t="n"/>
      <c r="J191" s="40" t="n"/>
      <c r="K191" s="40" t="n"/>
      <c r="L191" s="56" t="n"/>
      <c r="M191" s="40" t="n"/>
      <c r="N191" s="57" t="n"/>
      <c r="O191" s="35" t="str">
        <f>IF(OR(L191="",N191=""),"",L191*N191)</f>
        <v/>
      </c>
      <c r="P191" s="43" t="n"/>
      <c r="Q191" s="36" t="str">
        <f>IF(OR(O191="",P191=""),"",O191-P191)</f>
        <v/>
      </c>
      <c r="R191" s="40" t="n"/>
      <c r="S191" s="40" t="n"/>
      <c r="T191" s="58" t="n"/>
      <c r="U191" s="42" t="n"/>
      <c r="V191" s="55" t="str">
        <f>IF(OR(U191="",T191=""),"",U191-T191)</f>
        <v/>
      </c>
      <c r="W191" s="40" t="n"/>
      <c r="X191" s="42" t="n"/>
      <c r="Y191" s="40" t="n"/>
      <c r="Z191" s="32" t="str">
        <f>IF(C191="","",IF(OR(W191="Ordered",W191="Received",W191="Installed"),"Ordered",IF(AND(I191&lt;&gt;"",J191&lt;&gt;"",L191&lt;&gt;"",R191&lt;&gt;"",T191&lt;&gt;"",X191&lt;&gt;""),"READY","Missing: "&amp;_xlfn.TEXTJOIN(", ",TRUE,IF(I191="","model",""),IF(J191="","finish",""),IF(L191="","qty",""),IF(R191="","supplier",""),IF(T191="","lead time",""),IF(X191="","approval","")))))</f>
        <v/>
      </c>
      <c r="AA191" s="54" t="str">
        <f>IF(C191="","",IF(OR(W191="Ordered",W191="Received",W191="Installed"),"",IF(AND(G191&lt;&gt;"",X191="",G191&lt;TODAY()),"DECISION OVERDUE",IF(V191="","",IF(V191&lt;TODAY(),"ORDER OVERDUE",IF(V191-TODAY()&lt;=14,"ORDER SOON",""))))))</f>
        <v/>
      </c>
      <c r="AB191" s="35" t="str">
        <f>IF(Q191="","",IF(AND(X191="",Q191&gt;0),Q191,""))</f>
        <v/>
      </c>
      <c r="AC191" s="59" t="n"/>
      <c r="AD191" s="59" t="n"/>
      <c r="AE191" s="60" t="str">
        <f>IF(AND(C191&lt;&gt;"",B191='Client Sign-Off'!$D$7),COUNTIFS($B$6:B191,'Client Sign-Off'!$D$7,$C$6:C191,"?*"),"")</f>
        <v/>
      </c>
    </row>
    <row r="192" ht="18" customHeight="1">
      <c r="A192" s="54" t="str">
        <f>IF(C192="","",ROW()-5)</f>
        <v/>
      </c>
      <c r="B192" s="40" t="n"/>
      <c r="C192" s="40" t="n"/>
      <c r="D192" s="40" t="n"/>
      <c r="E192" s="40" t="n"/>
      <c r="F192" s="40" t="n"/>
      <c r="G192" s="55" t="str">
        <f>IF(F192="","",IFERROR(IF(INDEX(Project!$C$24:$C$27,MATCH(F192,Project!$B$24:$B$27,0))="","",INDEX(Project!$C$24:$C$27,MATCH(F192,Project!$B$24:$B$27,0))),""))</f>
        <v/>
      </c>
      <c r="H192" s="40" t="n"/>
      <c r="I192" s="40" t="n"/>
      <c r="J192" s="40" t="n"/>
      <c r="K192" s="40" t="n"/>
      <c r="L192" s="56" t="n"/>
      <c r="M192" s="40" t="n"/>
      <c r="N192" s="57" t="n"/>
      <c r="O192" s="35" t="str">
        <f>IF(OR(L192="",N192=""),"",L192*N192)</f>
        <v/>
      </c>
      <c r="P192" s="43" t="n"/>
      <c r="Q192" s="36" t="str">
        <f>IF(OR(O192="",P192=""),"",O192-P192)</f>
        <v/>
      </c>
      <c r="R192" s="40" t="n"/>
      <c r="S192" s="40" t="n"/>
      <c r="T192" s="58" t="n"/>
      <c r="U192" s="42" t="n"/>
      <c r="V192" s="55" t="str">
        <f>IF(OR(U192="",T192=""),"",U192-T192)</f>
        <v/>
      </c>
      <c r="W192" s="40" t="n"/>
      <c r="X192" s="42" t="n"/>
      <c r="Y192" s="40" t="n"/>
      <c r="Z192" s="32" t="str">
        <f>IF(C192="","",IF(OR(W192="Ordered",W192="Received",W192="Installed"),"Ordered",IF(AND(I192&lt;&gt;"",J192&lt;&gt;"",L192&lt;&gt;"",R192&lt;&gt;"",T192&lt;&gt;"",X192&lt;&gt;""),"READY","Missing: "&amp;_xlfn.TEXTJOIN(", ",TRUE,IF(I192="","model",""),IF(J192="","finish",""),IF(L192="","qty",""),IF(R192="","supplier",""),IF(T192="","lead time",""),IF(X192="","approval","")))))</f>
        <v/>
      </c>
      <c r="AA192" s="54" t="str">
        <f>IF(C192="","",IF(OR(W192="Ordered",W192="Received",W192="Installed"),"",IF(AND(G192&lt;&gt;"",X192="",G192&lt;TODAY()),"DECISION OVERDUE",IF(V192="","",IF(V192&lt;TODAY(),"ORDER OVERDUE",IF(V192-TODAY()&lt;=14,"ORDER SOON",""))))))</f>
        <v/>
      </c>
      <c r="AB192" s="35" t="str">
        <f>IF(Q192="","",IF(AND(X192="",Q192&gt;0),Q192,""))</f>
        <v/>
      </c>
      <c r="AC192" s="59" t="n"/>
      <c r="AD192" s="59" t="n"/>
      <c r="AE192" s="60" t="str">
        <f>IF(AND(C192&lt;&gt;"",B192='Client Sign-Off'!$D$7),COUNTIFS($B$6:B192,'Client Sign-Off'!$D$7,$C$6:C192,"?*"),"")</f>
        <v/>
      </c>
    </row>
    <row r="193" ht="18" customHeight="1">
      <c r="A193" s="54" t="str">
        <f>IF(C193="","",ROW()-5)</f>
        <v/>
      </c>
      <c r="B193" s="40" t="n"/>
      <c r="C193" s="40" t="n"/>
      <c r="D193" s="40" t="n"/>
      <c r="E193" s="40" t="n"/>
      <c r="F193" s="40" t="n"/>
      <c r="G193" s="55" t="str">
        <f>IF(F193="","",IFERROR(IF(INDEX(Project!$C$24:$C$27,MATCH(F193,Project!$B$24:$B$27,0))="","",INDEX(Project!$C$24:$C$27,MATCH(F193,Project!$B$24:$B$27,0))),""))</f>
        <v/>
      </c>
      <c r="H193" s="40" t="n"/>
      <c r="I193" s="40" t="n"/>
      <c r="J193" s="40" t="n"/>
      <c r="K193" s="40" t="n"/>
      <c r="L193" s="56" t="n"/>
      <c r="M193" s="40" t="n"/>
      <c r="N193" s="57" t="n"/>
      <c r="O193" s="35" t="str">
        <f>IF(OR(L193="",N193=""),"",L193*N193)</f>
        <v/>
      </c>
      <c r="P193" s="43" t="n"/>
      <c r="Q193" s="36" t="str">
        <f>IF(OR(O193="",P193=""),"",O193-P193)</f>
        <v/>
      </c>
      <c r="R193" s="40" t="n"/>
      <c r="S193" s="40" t="n"/>
      <c r="T193" s="58" t="n"/>
      <c r="U193" s="42" t="n"/>
      <c r="V193" s="55" t="str">
        <f>IF(OR(U193="",T193=""),"",U193-T193)</f>
        <v/>
      </c>
      <c r="W193" s="40" t="n"/>
      <c r="X193" s="42" t="n"/>
      <c r="Y193" s="40" t="n"/>
      <c r="Z193" s="32" t="str">
        <f>IF(C193="","",IF(OR(W193="Ordered",W193="Received",W193="Installed"),"Ordered",IF(AND(I193&lt;&gt;"",J193&lt;&gt;"",L193&lt;&gt;"",R193&lt;&gt;"",T193&lt;&gt;"",X193&lt;&gt;""),"READY","Missing: "&amp;_xlfn.TEXTJOIN(", ",TRUE,IF(I193="","model",""),IF(J193="","finish",""),IF(L193="","qty",""),IF(R193="","supplier",""),IF(T193="","lead time",""),IF(X193="","approval","")))))</f>
        <v/>
      </c>
      <c r="AA193" s="54" t="str">
        <f>IF(C193="","",IF(OR(W193="Ordered",W193="Received",W193="Installed"),"",IF(AND(G193&lt;&gt;"",X193="",G193&lt;TODAY()),"DECISION OVERDUE",IF(V193="","",IF(V193&lt;TODAY(),"ORDER OVERDUE",IF(V193-TODAY()&lt;=14,"ORDER SOON",""))))))</f>
        <v/>
      </c>
      <c r="AB193" s="35" t="str">
        <f>IF(Q193="","",IF(AND(X193="",Q193&gt;0),Q193,""))</f>
        <v/>
      </c>
      <c r="AC193" s="59" t="n"/>
      <c r="AD193" s="59" t="n"/>
      <c r="AE193" s="60" t="str">
        <f>IF(AND(C193&lt;&gt;"",B193='Client Sign-Off'!$D$7),COUNTIFS($B$6:B193,'Client Sign-Off'!$D$7,$C$6:C193,"?*"),"")</f>
        <v/>
      </c>
    </row>
    <row r="194" ht="18" customHeight="1">
      <c r="A194" s="54" t="str">
        <f>IF(C194="","",ROW()-5)</f>
        <v/>
      </c>
      <c r="B194" s="40" t="n"/>
      <c r="C194" s="40" t="n"/>
      <c r="D194" s="40" t="n"/>
      <c r="E194" s="40" t="n"/>
      <c r="F194" s="40" t="n"/>
      <c r="G194" s="55" t="str">
        <f>IF(F194="","",IFERROR(IF(INDEX(Project!$C$24:$C$27,MATCH(F194,Project!$B$24:$B$27,0))="","",INDEX(Project!$C$24:$C$27,MATCH(F194,Project!$B$24:$B$27,0))),""))</f>
        <v/>
      </c>
      <c r="H194" s="40" t="n"/>
      <c r="I194" s="40" t="n"/>
      <c r="J194" s="40" t="n"/>
      <c r="K194" s="40" t="n"/>
      <c r="L194" s="56" t="n"/>
      <c r="M194" s="40" t="n"/>
      <c r="N194" s="57" t="n"/>
      <c r="O194" s="35" t="str">
        <f>IF(OR(L194="",N194=""),"",L194*N194)</f>
        <v/>
      </c>
      <c r="P194" s="43" t="n"/>
      <c r="Q194" s="36" t="str">
        <f>IF(OR(O194="",P194=""),"",O194-P194)</f>
        <v/>
      </c>
      <c r="R194" s="40" t="n"/>
      <c r="S194" s="40" t="n"/>
      <c r="T194" s="58" t="n"/>
      <c r="U194" s="42" t="n"/>
      <c r="V194" s="55" t="str">
        <f>IF(OR(U194="",T194=""),"",U194-T194)</f>
        <v/>
      </c>
      <c r="W194" s="40" t="n"/>
      <c r="X194" s="42" t="n"/>
      <c r="Y194" s="40" t="n"/>
      <c r="Z194" s="32" t="str">
        <f>IF(C194="","",IF(OR(W194="Ordered",W194="Received",W194="Installed"),"Ordered",IF(AND(I194&lt;&gt;"",J194&lt;&gt;"",L194&lt;&gt;"",R194&lt;&gt;"",T194&lt;&gt;"",X194&lt;&gt;""),"READY","Missing: "&amp;_xlfn.TEXTJOIN(", ",TRUE,IF(I194="","model",""),IF(J194="","finish",""),IF(L194="","qty",""),IF(R194="","supplier",""),IF(T194="","lead time",""),IF(X194="","approval","")))))</f>
        <v/>
      </c>
      <c r="AA194" s="54" t="str">
        <f>IF(C194="","",IF(OR(W194="Ordered",W194="Received",W194="Installed"),"",IF(AND(G194&lt;&gt;"",X194="",G194&lt;TODAY()),"DECISION OVERDUE",IF(V194="","",IF(V194&lt;TODAY(),"ORDER OVERDUE",IF(V194-TODAY()&lt;=14,"ORDER SOON",""))))))</f>
        <v/>
      </c>
      <c r="AB194" s="35" t="str">
        <f>IF(Q194="","",IF(AND(X194="",Q194&gt;0),Q194,""))</f>
        <v/>
      </c>
      <c r="AC194" s="59" t="n"/>
      <c r="AD194" s="59" t="n"/>
      <c r="AE194" s="60" t="str">
        <f>IF(AND(C194&lt;&gt;"",B194='Client Sign-Off'!$D$7),COUNTIFS($B$6:B194,'Client Sign-Off'!$D$7,$C$6:C194,"?*"),"")</f>
        <v/>
      </c>
    </row>
    <row r="195" ht="18" customHeight="1">
      <c r="A195" s="54" t="str">
        <f>IF(C195="","",ROW()-5)</f>
        <v/>
      </c>
      <c r="B195" s="40" t="n"/>
      <c r="C195" s="40" t="n"/>
      <c r="D195" s="40" t="n"/>
      <c r="E195" s="40" t="n"/>
      <c r="F195" s="40" t="n"/>
      <c r="G195" s="55" t="str">
        <f>IF(F195="","",IFERROR(IF(INDEX(Project!$C$24:$C$27,MATCH(F195,Project!$B$24:$B$27,0))="","",INDEX(Project!$C$24:$C$27,MATCH(F195,Project!$B$24:$B$27,0))),""))</f>
        <v/>
      </c>
      <c r="H195" s="40" t="n"/>
      <c r="I195" s="40" t="n"/>
      <c r="J195" s="40" t="n"/>
      <c r="K195" s="40" t="n"/>
      <c r="L195" s="56" t="n"/>
      <c r="M195" s="40" t="n"/>
      <c r="N195" s="57" t="n"/>
      <c r="O195" s="35" t="str">
        <f>IF(OR(L195="",N195=""),"",L195*N195)</f>
        <v/>
      </c>
      <c r="P195" s="43" t="n"/>
      <c r="Q195" s="36" t="str">
        <f>IF(OR(O195="",P195=""),"",O195-P195)</f>
        <v/>
      </c>
      <c r="R195" s="40" t="n"/>
      <c r="S195" s="40" t="n"/>
      <c r="T195" s="58" t="n"/>
      <c r="U195" s="42" t="n"/>
      <c r="V195" s="55" t="str">
        <f>IF(OR(U195="",T195=""),"",U195-T195)</f>
        <v/>
      </c>
      <c r="W195" s="40" t="n"/>
      <c r="X195" s="42" t="n"/>
      <c r="Y195" s="40" t="n"/>
      <c r="Z195" s="32" t="str">
        <f>IF(C195="","",IF(OR(W195="Ordered",W195="Received",W195="Installed"),"Ordered",IF(AND(I195&lt;&gt;"",J195&lt;&gt;"",L195&lt;&gt;"",R195&lt;&gt;"",T195&lt;&gt;"",X195&lt;&gt;""),"READY","Missing: "&amp;_xlfn.TEXTJOIN(", ",TRUE,IF(I195="","model",""),IF(J195="","finish",""),IF(L195="","qty",""),IF(R195="","supplier",""),IF(T195="","lead time",""),IF(X195="","approval","")))))</f>
        <v/>
      </c>
      <c r="AA195" s="54" t="str">
        <f>IF(C195="","",IF(OR(W195="Ordered",W195="Received",W195="Installed"),"",IF(AND(G195&lt;&gt;"",X195="",G195&lt;TODAY()),"DECISION OVERDUE",IF(V195="","",IF(V195&lt;TODAY(),"ORDER OVERDUE",IF(V195-TODAY()&lt;=14,"ORDER SOON",""))))))</f>
        <v/>
      </c>
      <c r="AB195" s="35" t="str">
        <f>IF(Q195="","",IF(AND(X195="",Q195&gt;0),Q195,""))</f>
        <v/>
      </c>
      <c r="AC195" s="59" t="n"/>
      <c r="AD195" s="59" t="n"/>
      <c r="AE195" s="60" t="str">
        <f>IF(AND(C195&lt;&gt;"",B195='Client Sign-Off'!$D$7),COUNTIFS($B$6:B195,'Client Sign-Off'!$D$7,$C$6:C195,"?*"),"")</f>
        <v/>
      </c>
    </row>
    <row r="196" ht="18" customHeight="1">
      <c r="A196" s="54" t="str">
        <f>IF(C196="","",ROW()-5)</f>
        <v/>
      </c>
      <c r="B196" s="40" t="n"/>
      <c r="C196" s="40" t="n"/>
      <c r="D196" s="40" t="n"/>
      <c r="E196" s="40" t="n"/>
      <c r="F196" s="40" t="n"/>
      <c r="G196" s="55" t="str">
        <f>IF(F196="","",IFERROR(IF(INDEX(Project!$C$24:$C$27,MATCH(F196,Project!$B$24:$B$27,0))="","",INDEX(Project!$C$24:$C$27,MATCH(F196,Project!$B$24:$B$27,0))),""))</f>
        <v/>
      </c>
      <c r="H196" s="40" t="n"/>
      <c r="I196" s="40" t="n"/>
      <c r="J196" s="40" t="n"/>
      <c r="K196" s="40" t="n"/>
      <c r="L196" s="56" t="n"/>
      <c r="M196" s="40" t="n"/>
      <c r="N196" s="57" t="n"/>
      <c r="O196" s="35" t="str">
        <f>IF(OR(L196="",N196=""),"",L196*N196)</f>
        <v/>
      </c>
      <c r="P196" s="43" t="n"/>
      <c r="Q196" s="36" t="str">
        <f>IF(OR(O196="",P196=""),"",O196-P196)</f>
        <v/>
      </c>
      <c r="R196" s="40" t="n"/>
      <c r="S196" s="40" t="n"/>
      <c r="T196" s="58" t="n"/>
      <c r="U196" s="42" t="n"/>
      <c r="V196" s="55" t="str">
        <f>IF(OR(U196="",T196=""),"",U196-T196)</f>
        <v/>
      </c>
      <c r="W196" s="40" t="n"/>
      <c r="X196" s="42" t="n"/>
      <c r="Y196" s="40" t="n"/>
      <c r="Z196" s="32" t="str">
        <f>IF(C196="","",IF(OR(W196="Ordered",W196="Received",W196="Installed"),"Ordered",IF(AND(I196&lt;&gt;"",J196&lt;&gt;"",L196&lt;&gt;"",R196&lt;&gt;"",T196&lt;&gt;"",X196&lt;&gt;""),"READY","Missing: "&amp;_xlfn.TEXTJOIN(", ",TRUE,IF(I196="","model",""),IF(J196="","finish",""),IF(L196="","qty",""),IF(R196="","supplier",""),IF(T196="","lead time",""),IF(X196="","approval","")))))</f>
        <v/>
      </c>
      <c r="AA196" s="54" t="str">
        <f>IF(C196="","",IF(OR(W196="Ordered",W196="Received",W196="Installed"),"",IF(AND(G196&lt;&gt;"",X196="",G196&lt;TODAY()),"DECISION OVERDUE",IF(V196="","",IF(V196&lt;TODAY(),"ORDER OVERDUE",IF(V196-TODAY()&lt;=14,"ORDER SOON",""))))))</f>
        <v/>
      </c>
      <c r="AB196" s="35" t="str">
        <f>IF(Q196="","",IF(AND(X196="",Q196&gt;0),Q196,""))</f>
        <v/>
      </c>
      <c r="AC196" s="59" t="n"/>
      <c r="AD196" s="59" t="n"/>
      <c r="AE196" s="60" t="str">
        <f>IF(AND(C196&lt;&gt;"",B196='Client Sign-Off'!$D$7),COUNTIFS($B$6:B196,'Client Sign-Off'!$D$7,$C$6:C196,"?*"),"")</f>
        <v/>
      </c>
    </row>
    <row r="197" ht="18" customHeight="1">
      <c r="A197" s="54" t="str">
        <f>IF(C197="","",ROW()-5)</f>
        <v/>
      </c>
      <c r="B197" s="40" t="n"/>
      <c r="C197" s="40" t="n"/>
      <c r="D197" s="40" t="n"/>
      <c r="E197" s="40" t="n"/>
      <c r="F197" s="40" t="n"/>
      <c r="G197" s="55" t="str">
        <f>IF(F197="","",IFERROR(IF(INDEX(Project!$C$24:$C$27,MATCH(F197,Project!$B$24:$B$27,0))="","",INDEX(Project!$C$24:$C$27,MATCH(F197,Project!$B$24:$B$27,0))),""))</f>
        <v/>
      </c>
      <c r="H197" s="40" t="n"/>
      <c r="I197" s="40" t="n"/>
      <c r="J197" s="40" t="n"/>
      <c r="K197" s="40" t="n"/>
      <c r="L197" s="56" t="n"/>
      <c r="M197" s="40" t="n"/>
      <c r="N197" s="57" t="n"/>
      <c r="O197" s="35" t="str">
        <f>IF(OR(L197="",N197=""),"",L197*N197)</f>
        <v/>
      </c>
      <c r="P197" s="43" t="n"/>
      <c r="Q197" s="36" t="str">
        <f>IF(OR(O197="",P197=""),"",O197-P197)</f>
        <v/>
      </c>
      <c r="R197" s="40" t="n"/>
      <c r="S197" s="40" t="n"/>
      <c r="T197" s="58" t="n"/>
      <c r="U197" s="42" t="n"/>
      <c r="V197" s="55" t="str">
        <f>IF(OR(U197="",T197=""),"",U197-T197)</f>
        <v/>
      </c>
      <c r="W197" s="40" t="n"/>
      <c r="X197" s="42" t="n"/>
      <c r="Y197" s="40" t="n"/>
      <c r="Z197" s="32" t="str">
        <f>IF(C197="","",IF(OR(W197="Ordered",W197="Received",W197="Installed"),"Ordered",IF(AND(I197&lt;&gt;"",J197&lt;&gt;"",L197&lt;&gt;"",R197&lt;&gt;"",T197&lt;&gt;"",X197&lt;&gt;""),"READY","Missing: "&amp;_xlfn.TEXTJOIN(", ",TRUE,IF(I197="","model",""),IF(J197="","finish",""),IF(L197="","qty",""),IF(R197="","supplier",""),IF(T197="","lead time",""),IF(X197="","approval","")))))</f>
        <v/>
      </c>
      <c r="AA197" s="54" t="str">
        <f>IF(C197="","",IF(OR(W197="Ordered",W197="Received",W197="Installed"),"",IF(AND(G197&lt;&gt;"",X197="",G197&lt;TODAY()),"DECISION OVERDUE",IF(V197="","",IF(V197&lt;TODAY(),"ORDER OVERDUE",IF(V197-TODAY()&lt;=14,"ORDER SOON",""))))))</f>
        <v/>
      </c>
      <c r="AB197" s="35" t="str">
        <f>IF(Q197="","",IF(AND(X197="",Q197&gt;0),Q197,""))</f>
        <v/>
      </c>
      <c r="AC197" s="59" t="n"/>
      <c r="AD197" s="59" t="n"/>
      <c r="AE197" s="60" t="str">
        <f>IF(AND(C197&lt;&gt;"",B197='Client Sign-Off'!$D$7),COUNTIFS($B$6:B197,'Client Sign-Off'!$D$7,$C$6:C197,"?*"),"")</f>
        <v/>
      </c>
    </row>
    <row r="198" ht="18" customHeight="1">
      <c r="A198" s="54" t="str">
        <f>IF(C198="","",ROW()-5)</f>
        <v/>
      </c>
      <c r="B198" s="40" t="n"/>
      <c r="C198" s="40" t="n"/>
      <c r="D198" s="40" t="n"/>
      <c r="E198" s="40" t="n"/>
      <c r="F198" s="40" t="n"/>
      <c r="G198" s="55" t="str">
        <f>IF(F198="","",IFERROR(IF(INDEX(Project!$C$24:$C$27,MATCH(F198,Project!$B$24:$B$27,0))="","",INDEX(Project!$C$24:$C$27,MATCH(F198,Project!$B$24:$B$27,0))),""))</f>
        <v/>
      </c>
      <c r="H198" s="40" t="n"/>
      <c r="I198" s="40" t="n"/>
      <c r="J198" s="40" t="n"/>
      <c r="K198" s="40" t="n"/>
      <c r="L198" s="56" t="n"/>
      <c r="M198" s="40" t="n"/>
      <c r="N198" s="57" t="n"/>
      <c r="O198" s="35" t="str">
        <f>IF(OR(L198="",N198=""),"",L198*N198)</f>
        <v/>
      </c>
      <c r="P198" s="43" t="n"/>
      <c r="Q198" s="36" t="str">
        <f>IF(OR(O198="",P198=""),"",O198-P198)</f>
        <v/>
      </c>
      <c r="R198" s="40" t="n"/>
      <c r="S198" s="40" t="n"/>
      <c r="T198" s="58" t="n"/>
      <c r="U198" s="42" t="n"/>
      <c r="V198" s="55" t="str">
        <f>IF(OR(U198="",T198=""),"",U198-T198)</f>
        <v/>
      </c>
      <c r="W198" s="40" t="n"/>
      <c r="X198" s="42" t="n"/>
      <c r="Y198" s="40" t="n"/>
      <c r="Z198" s="32" t="str">
        <f>IF(C198="","",IF(OR(W198="Ordered",W198="Received",W198="Installed"),"Ordered",IF(AND(I198&lt;&gt;"",J198&lt;&gt;"",L198&lt;&gt;"",R198&lt;&gt;"",T198&lt;&gt;"",X198&lt;&gt;""),"READY","Missing: "&amp;_xlfn.TEXTJOIN(", ",TRUE,IF(I198="","model",""),IF(J198="","finish",""),IF(L198="","qty",""),IF(R198="","supplier",""),IF(T198="","lead time",""),IF(X198="","approval","")))))</f>
        <v/>
      </c>
      <c r="AA198" s="54" t="str">
        <f>IF(C198="","",IF(OR(W198="Ordered",W198="Received",W198="Installed"),"",IF(AND(G198&lt;&gt;"",X198="",G198&lt;TODAY()),"DECISION OVERDUE",IF(V198="","",IF(V198&lt;TODAY(),"ORDER OVERDUE",IF(V198-TODAY()&lt;=14,"ORDER SOON",""))))))</f>
        <v/>
      </c>
      <c r="AB198" s="35" t="str">
        <f>IF(Q198="","",IF(AND(X198="",Q198&gt;0),Q198,""))</f>
        <v/>
      </c>
      <c r="AC198" s="59" t="n"/>
      <c r="AD198" s="59" t="n"/>
      <c r="AE198" s="60" t="str">
        <f>IF(AND(C198&lt;&gt;"",B198='Client Sign-Off'!$D$7),COUNTIFS($B$6:B198,'Client Sign-Off'!$D$7,$C$6:C198,"?*"),"")</f>
        <v/>
      </c>
    </row>
    <row r="199" ht="18" customHeight="1">
      <c r="A199" s="54" t="str">
        <f>IF(C199="","",ROW()-5)</f>
        <v/>
      </c>
      <c r="B199" s="40" t="n"/>
      <c r="C199" s="40" t="n"/>
      <c r="D199" s="40" t="n"/>
      <c r="E199" s="40" t="n"/>
      <c r="F199" s="40" t="n"/>
      <c r="G199" s="55" t="str">
        <f>IF(F199="","",IFERROR(IF(INDEX(Project!$C$24:$C$27,MATCH(F199,Project!$B$24:$B$27,0))="","",INDEX(Project!$C$24:$C$27,MATCH(F199,Project!$B$24:$B$27,0))),""))</f>
        <v/>
      </c>
      <c r="H199" s="40" t="n"/>
      <c r="I199" s="40" t="n"/>
      <c r="J199" s="40" t="n"/>
      <c r="K199" s="40" t="n"/>
      <c r="L199" s="56" t="n"/>
      <c r="M199" s="40" t="n"/>
      <c r="N199" s="57" t="n"/>
      <c r="O199" s="35" t="str">
        <f>IF(OR(L199="",N199=""),"",L199*N199)</f>
        <v/>
      </c>
      <c r="P199" s="43" t="n"/>
      <c r="Q199" s="36" t="str">
        <f>IF(OR(O199="",P199=""),"",O199-P199)</f>
        <v/>
      </c>
      <c r="R199" s="40" t="n"/>
      <c r="S199" s="40" t="n"/>
      <c r="T199" s="58" t="n"/>
      <c r="U199" s="42" t="n"/>
      <c r="V199" s="55" t="str">
        <f>IF(OR(U199="",T199=""),"",U199-T199)</f>
        <v/>
      </c>
      <c r="W199" s="40" t="n"/>
      <c r="X199" s="42" t="n"/>
      <c r="Y199" s="40" t="n"/>
      <c r="Z199" s="32" t="str">
        <f>IF(C199="","",IF(OR(W199="Ordered",W199="Received",W199="Installed"),"Ordered",IF(AND(I199&lt;&gt;"",J199&lt;&gt;"",L199&lt;&gt;"",R199&lt;&gt;"",T199&lt;&gt;"",X199&lt;&gt;""),"READY","Missing: "&amp;_xlfn.TEXTJOIN(", ",TRUE,IF(I199="","model",""),IF(J199="","finish",""),IF(L199="","qty",""),IF(R199="","supplier",""),IF(T199="","lead time",""),IF(X199="","approval","")))))</f>
        <v/>
      </c>
      <c r="AA199" s="54" t="str">
        <f>IF(C199="","",IF(OR(W199="Ordered",W199="Received",W199="Installed"),"",IF(AND(G199&lt;&gt;"",X199="",G199&lt;TODAY()),"DECISION OVERDUE",IF(V199="","",IF(V199&lt;TODAY(),"ORDER OVERDUE",IF(V199-TODAY()&lt;=14,"ORDER SOON",""))))))</f>
        <v/>
      </c>
      <c r="AB199" s="35" t="str">
        <f>IF(Q199="","",IF(AND(X199="",Q199&gt;0),Q199,""))</f>
        <v/>
      </c>
      <c r="AC199" s="59" t="n"/>
      <c r="AD199" s="59" t="n"/>
      <c r="AE199" s="60" t="str">
        <f>IF(AND(C199&lt;&gt;"",B199='Client Sign-Off'!$D$7),COUNTIFS($B$6:B199,'Client Sign-Off'!$D$7,$C$6:C199,"?*"),"")</f>
        <v/>
      </c>
    </row>
    <row r="200" ht="18" customHeight="1">
      <c r="A200" s="54" t="str">
        <f>IF(C200="","",ROW()-5)</f>
        <v/>
      </c>
      <c r="B200" s="40" t="n"/>
      <c r="C200" s="40" t="n"/>
      <c r="D200" s="40" t="n"/>
      <c r="E200" s="40" t="n"/>
      <c r="F200" s="40" t="n"/>
      <c r="G200" s="55" t="str">
        <f>IF(F200="","",IFERROR(IF(INDEX(Project!$C$24:$C$27,MATCH(F200,Project!$B$24:$B$27,0))="","",INDEX(Project!$C$24:$C$27,MATCH(F200,Project!$B$24:$B$27,0))),""))</f>
        <v/>
      </c>
      <c r="H200" s="40" t="n"/>
      <c r="I200" s="40" t="n"/>
      <c r="J200" s="40" t="n"/>
      <c r="K200" s="40" t="n"/>
      <c r="L200" s="56" t="n"/>
      <c r="M200" s="40" t="n"/>
      <c r="N200" s="57" t="n"/>
      <c r="O200" s="35" t="str">
        <f>IF(OR(L200="",N200=""),"",L200*N200)</f>
        <v/>
      </c>
      <c r="P200" s="43" t="n"/>
      <c r="Q200" s="36" t="str">
        <f>IF(OR(O200="",P200=""),"",O200-P200)</f>
        <v/>
      </c>
      <c r="R200" s="40" t="n"/>
      <c r="S200" s="40" t="n"/>
      <c r="T200" s="58" t="n"/>
      <c r="U200" s="42" t="n"/>
      <c r="V200" s="55" t="str">
        <f>IF(OR(U200="",T200=""),"",U200-T200)</f>
        <v/>
      </c>
      <c r="W200" s="40" t="n"/>
      <c r="X200" s="42" t="n"/>
      <c r="Y200" s="40" t="n"/>
      <c r="Z200" s="32" t="str">
        <f>IF(C200="","",IF(OR(W200="Ordered",W200="Received",W200="Installed"),"Ordered",IF(AND(I200&lt;&gt;"",J200&lt;&gt;"",L200&lt;&gt;"",R200&lt;&gt;"",T200&lt;&gt;"",X200&lt;&gt;""),"READY","Missing: "&amp;_xlfn.TEXTJOIN(", ",TRUE,IF(I200="","model",""),IF(J200="","finish",""),IF(L200="","qty",""),IF(R200="","supplier",""),IF(T200="","lead time",""),IF(X200="","approval","")))))</f>
        <v/>
      </c>
      <c r="AA200" s="54" t="str">
        <f>IF(C200="","",IF(OR(W200="Ordered",W200="Received",W200="Installed"),"",IF(AND(G200&lt;&gt;"",X200="",G200&lt;TODAY()),"DECISION OVERDUE",IF(V200="","",IF(V200&lt;TODAY(),"ORDER OVERDUE",IF(V200-TODAY()&lt;=14,"ORDER SOON",""))))))</f>
        <v/>
      </c>
      <c r="AB200" s="35" t="str">
        <f>IF(Q200="","",IF(AND(X200="",Q200&gt;0),Q200,""))</f>
        <v/>
      </c>
      <c r="AC200" s="59" t="n"/>
      <c r="AD200" s="59" t="n"/>
      <c r="AE200" s="60" t="str">
        <f>IF(AND(C200&lt;&gt;"",B200='Client Sign-Off'!$D$7),COUNTIFS($B$6:B200,'Client Sign-Off'!$D$7,$C$6:C200,"?*"),"")</f>
        <v/>
      </c>
    </row>
    <row r="201" ht="18" customHeight="1">
      <c r="A201" s="54" t="str">
        <f>IF(C201="","",ROW()-5)</f>
        <v/>
      </c>
      <c r="B201" s="40" t="n"/>
      <c r="C201" s="40" t="n"/>
      <c r="D201" s="40" t="n"/>
      <c r="E201" s="40" t="n"/>
      <c r="F201" s="40" t="n"/>
      <c r="G201" s="55" t="str">
        <f>IF(F201="","",IFERROR(IF(INDEX(Project!$C$24:$C$27,MATCH(F201,Project!$B$24:$B$27,0))="","",INDEX(Project!$C$24:$C$27,MATCH(F201,Project!$B$24:$B$27,0))),""))</f>
        <v/>
      </c>
      <c r="H201" s="40" t="n"/>
      <c r="I201" s="40" t="n"/>
      <c r="J201" s="40" t="n"/>
      <c r="K201" s="40" t="n"/>
      <c r="L201" s="56" t="n"/>
      <c r="M201" s="40" t="n"/>
      <c r="N201" s="57" t="n"/>
      <c r="O201" s="35" t="str">
        <f>IF(OR(L201="",N201=""),"",L201*N201)</f>
        <v/>
      </c>
      <c r="P201" s="43" t="n"/>
      <c r="Q201" s="36" t="str">
        <f>IF(OR(O201="",P201=""),"",O201-P201)</f>
        <v/>
      </c>
      <c r="R201" s="40" t="n"/>
      <c r="S201" s="40" t="n"/>
      <c r="T201" s="58" t="n"/>
      <c r="U201" s="42" t="n"/>
      <c r="V201" s="55" t="str">
        <f>IF(OR(U201="",T201=""),"",U201-T201)</f>
        <v/>
      </c>
      <c r="W201" s="40" t="n"/>
      <c r="X201" s="42" t="n"/>
      <c r="Y201" s="40" t="n"/>
      <c r="Z201" s="32" t="str">
        <f>IF(C201="","",IF(OR(W201="Ordered",W201="Received",W201="Installed"),"Ordered",IF(AND(I201&lt;&gt;"",J201&lt;&gt;"",L201&lt;&gt;"",R201&lt;&gt;"",T201&lt;&gt;"",X201&lt;&gt;""),"READY","Missing: "&amp;_xlfn.TEXTJOIN(", ",TRUE,IF(I201="","model",""),IF(J201="","finish",""),IF(L201="","qty",""),IF(R201="","supplier",""),IF(T201="","lead time",""),IF(X201="","approval","")))))</f>
        <v/>
      </c>
      <c r="AA201" s="54" t="str">
        <f>IF(C201="","",IF(OR(W201="Ordered",W201="Received",W201="Installed"),"",IF(AND(G201&lt;&gt;"",X201="",G201&lt;TODAY()),"DECISION OVERDUE",IF(V201="","",IF(V201&lt;TODAY(),"ORDER OVERDUE",IF(V201-TODAY()&lt;=14,"ORDER SOON",""))))))</f>
        <v/>
      </c>
      <c r="AB201" s="35" t="str">
        <f>IF(Q201="","",IF(AND(X201="",Q201&gt;0),Q201,""))</f>
        <v/>
      </c>
      <c r="AC201" s="59" t="n"/>
      <c r="AD201" s="59" t="n"/>
      <c r="AE201" s="60" t="str">
        <f>IF(AND(C201&lt;&gt;"",B201='Client Sign-Off'!$D$7),COUNTIFS($B$6:B201,'Client Sign-Off'!$D$7,$C$6:C201,"?*"),"")</f>
        <v/>
      </c>
    </row>
    <row r="202" ht="18" customHeight="1">
      <c r="A202" s="54" t="str">
        <f>IF(C202="","",ROW()-5)</f>
        <v/>
      </c>
      <c r="B202" s="40" t="n"/>
      <c r="C202" s="40" t="n"/>
      <c r="D202" s="40" t="n"/>
      <c r="E202" s="40" t="n"/>
      <c r="F202" s="40" t="n"/>
      <c r="G202" s="55" t="str">
        <f>IF(F202="","",IFERROR(IF(INDEX(Project!$C$24:$C$27,MATCH(F202,Project!$B$24:$B$27,0))="","",INDEX(Project!$C$24:$C$27,MATCH(F202,Project!$B$24:$B$27,0))),""))</f>
        <v/>
      </c>
      <c r="H202" s="40" t="n"/>
      <c r="I202" s="40" t="n"/>
      <c r="J202" s="40" t="n"/>
      <c r="K202" s="40" t="n"/>
      <c r="L202" s="56" t="n"/>
      <c r="M202" s="40" t="n"/>
      <c r="N202" s="57" t="n"/>
      <c r="O202" s="35" t="str">
        <f>IF(OR(L202="",N202=""),"",L202*N202)</f>
        <v/>
      </c>
      <c r="P202" s="43" t="n"/>
      <c r="Q202" s="36" t="str">
        <f>IF(OR(O202="",P202=""),"",O202-P202)</f>
        <v/>
      </c>
      <c r="R202" s="40" t="n"/>
      <c r="S202" s="40" t="n"/>
      <c r="T202" s="58" t="n"/>
      <c r="U202" s="42" t="n"/>
      <c r="V202" s="55" t="str">
        <f>IF(OR(U202="",T202=""),"",U202-T202)</f>
        <v/>
      </c>
      <c r="W202" s="40" t="n"/>
      <c r="X202" s="42" t="n"/>
      <c r="Y202" s="40" t="n"/>
      <c r="Z202" s="32" t="str">
        <f>IF(C202="","",IF(OR(W202="Ordered",W202="Received",W202="Installed"),"Ordered",IF(AND(I202&lt;&gt;"",J202&lt;&gt;"",L202&lt;&gt;"",R202&lt;&gt;"",T202&lt;&gt;"",X202&lt;&gt;""),"READY","Missing: "&amp;_xlfn.TEXTJOIN(", ",TRUE,IF(I202="","model",""),IF(J202="","finish",""),IF(L202="","qty",""),IF(R202="","supplier",""),IF(T202="","lead time",""),IF(X202="","approval","")))))</f>
        <v/>
      </c>
      <c r="AA202" s="54" t="str">
        <f>IF(C202="","",IF(OR(W202="Ordered",W202="Received",W202="Installed"),"",IF(AND(G202&lt;&gt;"",X202="",G202&lt;TODAY()),"DECISION OVERDUE",IF(V202="","",IF(V202&lt;TODAY(),"ORDER OVERDUE",IF(V202-TODAY()&lt;=14,"ORDER SOON",""))))))</f>
        <v/>
      </c>
      <c r="AB202" s="35" t="str">
        <f>IF(Q202="","",IF(AND(X202="",Q202&gt;0),Q202,""))</f>
        <v/>
      </c>
      <c r="AC202" s="59" t="n"/>
      <c r="AD202" s="59" t="n"/>
      <c r="AE202" s="60" t="str">
        <f>IF(AND(C202&lt;&gt;"",B202='Client Sign-Off'!$D$7),COUNTIFS($B$6:B202,'Client Sign-Off'!$D$7,$C$6:C202,"?*"),"")</f>
        <v/>
      </c>
    </row>
    <row r="203" ht="18" customHeight="1">
      <c r="A203" s="54" t="str">
        <f>IF(C203="","",ROW()-5)</f>
        <v/>
      </c>
      <c r="B203" s="40" t="n"/>
      <c r="C203" s="40" t="n"/>
      <c r="D203" s="40" t="n"/>
      <c r="E203" s="40" t="n"/>
      <c r="F203" s="40" t="n"/>
      <c r="G203" s="55" t="str">
        <f>IF(F203="","",IFERROR(IF(INDEX(Project!$C$24:$C$27,MATCH(F203,Project!$B$24:$B$27,0))="","",INDEX(Project!$C$24:$C$27,MATCH(F203,Project!$B$24:$B$27,0))),""))</f>
        <v/>
      </c>
      <c r="H203" s="40" t="n"/>
      <c r="I203" s="40" t="n"/>
      <c r="J203" s="40" t="n"/>
      <c r="K203" s="40" t="n"/>
      <c r="L203" s="56" t="n"/>
      <c r="M203" s="40" t="n"/>
      <c r="N203" s="57" t="n"/>
      <c r="O203" s="35" t="str">
        <f>IF(OR(L203="",N203=""),"",L203*N203)</f>
        <v/>
      </c>
      <c r="P203" s="43" t="n"/>
      <c r="Q203" s="36" t="str">
        <f>IF(OR(O203="",P203=""),"",O203-P203)</f>
        <v/>
      </c>
      <c r="R203" s="40" t="n"/>
      <c r="S203" s="40" t="n"/>
      <c r="T203" s="58" t="n"/>
      <c r="U203" s="42" t="n"/>
      <c r="V203" s="55" t="str">
        <f>IF(OR(U203="",T203=""),"",U203-T203)</f>
        <v/>
      </c>
      <c r="W203" s="40" t="n"/>
      <c r="X203" s="42" t="n"/>
      <c r="Y203" s="40" t="n"/>
      <c r="Z203" s="32" t="str">
        <f>IF(C203="","",IF(OR(W203="Ordered",W203="Received",W203="Installed"),"Ordered",IF(AND(I203&lt;&gt;"",J203&lt;&gt;"",L203&lt;&gt;"",R203&lt;&gt;"",T203&lt;&gt;"",X203&lt;&gt;""),"READY","Missing: "&amp;_xlfn.TEXTJOIN(", ",TRUE,IF(I203="","model",""),IF(J203="","finish",""),IF(L203="","qty",""),IF(R203="","supplier",""),IF(T203="","lead time",""),IF(X203="","approval","")))))</f>
        <v/>
      </c>
      <c r="AA203" s="54" t="str">
        <f>IF(C203="","",IF(OR(W203="Ordered",W203="Received",W203="Installed"),"",IF(AND(G203&lt;&gt;"",X203="",G203&lt;TODAY()),"DECISION OVERDUE",IF(V203="","",IF(V203&lt;TODAY(),"ORDER OVERDUE",IF(V203-TODAY()&lt;=14,"ORDER SOON",""))))))</f>
        <v/>
      </c>
      <c r="AB203" s="35" t="str">
        <f>IF(Q203="","",IF(AND(X203="",Q203&gt;0),Q203,""))</f>
        <v/>
      </c>
      <c r="AC203" s="59" t="n"/>
      <c r="AD203" s="59" t="n"/>
      <c r="AE203" s="60" t="str">
        <f>IF(AND(C203&lt;&gt;"",B203='Client Sign-Off'!$D$7),COUNTIFS($B$6:B203,'Client Sign-Off'!$D$7,$C$6:C203,"?*"),"")</f>
        <v/>
      </c>
    </row>
    <row r="204" ht="18" customHeight="1">
      <c r="A204" s="54" t="str">
        <f>IF(C204="","",ROW()-5)</f>
        <v/>
      </c>
      <c r="B204" s="40" t="n"/>
      <c r="C204" s="40" t="n"/>
      <c r="D204" s="40" t="n"/>
      <c r="E204" s="40" t="n"/>
      <c r="F204" s="40" t="n"/>
      <c r="G204" s="55" t="str">
        <f>IF(F204="","",IFERROR(IF(INDEX(Project!$C$24:$C$27,MATCH(F204,Project!$B$24:$B$27,0))="","",INDEX(Project!$C$24:$C$27,MATCH(F204,Project!$B$24:$B$27,0))),""))</f>
        <v/>
      </c>
      <c r="H204" s="40" t="n"/>
      <c r="I204" s="40" t="n"/>
      <c r="J204" s="40" t="n"/>
      <c r="K204" s="40" t="n"/>
      <c r="L204" s="56" t="n"/>
      <c r="M204" s="40" t="n"/>
      <c r="N204" s="57" t="n"/>
      <c r="O204" s="35" t="str">
        <f>IF(OR(L204="",N204=""),"",L204*N204)</f>
        <v/>
      </c>
      <c r="P204" s="43" t="n"/>
      <c r="Q204" s="36" t="str">
        <f>IF(OR(O204="",P204=""),"",O204-P204)</f>
        <v/>
      </c>
      <c r="R204" s="40" t="n"/>
      <c r="S204" s="40" t="n"/>
      <c r="T204" s="58" t="n"/>
      <c r="U204" s="42" t="n"/>
      <c r="V204" s="55" t="str">
        <f>IF(OR(U204="",T204=""),"",U204-T204)</f>
        <v/>
      </c>
      <c r="W204" s="40" t="n"/>
      <c r="X204" s="42" t="n"/>
      <c r="Y204" s="40" t="n"/>
      <c r="Z204" s="32" t="str">
        <f>IF(C204="","",IF(OR(W204="Ordered",W204="Received",W204="Installed"),"Ordered",IF(AND(I204&lt;&gt;"",J204&lt;&gt;"",L204&lt;&gt;"",R204&lt;&gt;"",T204&lt;&gt;"",X204&lt;&gt;""),"READY","Missing: "&amp;_xlfn.TEXTJOIN(", ",TRUE,IF(I204="","model",""),IF(J204="","finish",""),IF(L204="","qty",""),IF(R204="","supplier",""),IF(T204="","lead time",""),IF(X204="","approval","")))))</f>
        <v/>
      </c>
      <c r="AA204" s="54" t="str">
        <f>IF(C204="","",IF(OR(W204="Ordered",W204="Received",W204="Installed"),"",IF(AND(G204&lt;&gt;"",X204="",G204&lt;TODAY()),"DECISION OVERDUE",IF(V204="","",IF(V204&lt;TODAY(),"ORDER OVERDUE",IF(V204-TODAY()&lt;=14,"ORDER SOON",""))))))</f>
        <v/>
      </c>
      <c r="AB204" s="35" t="str">
        <f>IF(Q204="","",IF(AND(X204="",Q204&gt;0),Q204,""))</f>
        <v/>
      </c>
      <c r="AC204" s="59" t="n"/>
      <c r="AD204" s="59" t="n"/>
      <c r="AE204" s="60" t="str">
        <f>IF(AND(C204&lt;&gt;"",B204='Client Sign-Off'!$D$7),COUNTIFS($B$6:B204,'Client Sign-Off'!$D$7,$C$6:C204,"?*"),"")</f>
        <v/>
      </c>
    </row>
    <row r="205" ht="18" customHeight="1">
      <c r="A205" s="54" t="str">
        <f>IF(C205="","",ROW()-5)</f>
        <v/>
      </c>
      <c r="B205" s="40" t="n"/>
      <c r="C205" s="40" t="n"/>
      <c r="D205" s="40" t="n"/>
      <c r="E205" s="40" t="n"/>
      <c r="F205" s="40" t="n"/>
      <c r="G205" s="55" t="str">
        <f>IF(F205="","",IFERROR(IF(INDEX(Project!$C$24:$C$27,MATCH(F205,Project!$B$24:$B$27,0))="","",INDEX(Project!$C$24:$C$27,MATCH(F205,Project!$B$24:$B$27,0))),""))</f>
        <v/>
      </c>
      <c r="H205" s="40" t="n"/>
      <c r="I205" s="40" t="n"/>
      <c r="J205" s="40" t="n"/>
      <c r="K205" s="40" t="n"/>
      <c r="L205" s="56" t="n"/>
      <c r="M205" s="40" t="n"/>
      <c r="N205" s="57" t="n"/>
      <c r="O205" s="35" t="str">
        <f>IF(OR(L205="",N205=""),"",L205*N205)</f>
        <v/>
      </c>
      <c r="P205" s="43" t="n"/>
      <c r="Q205" s="36" t="str">
        <f>IF(OR(O205="",P205=""),"",O205-P205)</f>
        <v/>
      </c>
      <c r="R205" s="40" t="n"/>
      <c r="S205" s="40" t="n"/>
      <c r="T205" s="58" t="n"/>
      <c r="U205" s="42" t="n"/>
      <c r="V205" s="55" t="str">
        <f>IF(OR(U205="",T205=""),"",U205-T205)</f>
        <v/>
      </c>
      <c r="W205" s="40" t="n"/>
      <c r="X205" s="42" t="n"/>
      <c r="Y205" s="40" t="n"/>
      <c r="Z205" s="32" t="str">
        <f>IF(C205="","",IF(OR(W205="Ordered",W205="Received",W205="Installed"),"Ordered",IF(AND(I205&lt;&gt;"",J205&lt;&gt;"",L205&lt;&gt;"",R205&lt;&gt;"",T205&lt;&gt;"",X205&lt;&gt;""),"READY","Missing: "&amp;_xlfn.TEXTJOIN(", ",TRUE,IF(I205="","model",""),IF(J205="","finish",""),IF(L205="","qty",""),IF(R205="","supplier",""),IF(T205="","lead time",""),IF(X205="","approval","")))))</f>
        <v/>
      </c>
      <c r="AA205" s="54" t="str">
        <f>IF(C205="","",IF(OR(W205="Ordered",W205="Received",W205="Installed"),"",IF(AND(G205&lt;&gt;"",X205="",G205&lt;TODAY()),"DECISION OVERDUE",IF(V205="","",IF(V205&lt;TODAY(),"ORDER OVERDUE",IF(V205-TODAY()&lt;=14,"ORDER SOON",""))))))</f>
        <v/>
      </c>
      <c r="AB205" s="35" t="str">
        <f>IF(Q205="","",IF(AND(X205="",Q205&gt;0),Q205,""))</f>
        <v/>
      </c>
      <c r="AC205" s="59" t="n"/>
      <c r="AD205" s="59" t="n"/>
      <c r="AE205" s="60" t="str">
        <f>IF(AND(C205&lt;&gt;"",B205='Client Sign-Off'!$D$7),COUNTIFS($B$6:B205,'Client Sign-Off'!$D$7,$C$6:C205,"?*"),"")</f>
        <v/>
      </c>
    </row>
    <row r="206" ht="18" customHeight="1">
      <c r="A206" s="54" t="str">
        <f>IF(C206="","",ROW()-5)</f>
        <v/>
      </c>
      <c r="B206" s="40" t="n"/>
      <c r="C206" s="40" t="n"/>
      <c r="D206" s="40" t="n"/>
      <c r="E206" s="40" t="n"/>
      <c r="F206" s="40" t="n"/>
      <c r="G206" s="55" t="str">
        <f>IF(F206="","",IFERROR(IF(INDEX(Project!$C$24:$C$27,MATCH(F206,Project!$B$24:$B$27,0))="","",INDEX(Project!$C$24:$C$27,MATCH(F206,Project!$B$24:$B$27,0))),""))</f>
        <v/>
      </c>
      <c r="H206" s="40" t="n"/>
      <c r="I206" s="40" t="n"/>
      <c r="J206" s="40" t="n"/>
      <c r="K206" s="40" t="n"/>
      <c r="L206" s="56" t="n"/>
      <c r="M206" s="40" t="n"/>
      <c r="N206" s="57" t="n"/>
      <c r="O206" s="35" t="str">
        <f>IF(OR(L206="",N206=""),"",L206*N206)</f>
        <v/>
      </c>
      <c r="P206" s="43" t="n"/>
      <c r="Q206" s="36" t="str">
        <f>IF(OR(O206="",P206=""),"",O206-P206)</f>
        <v/>
      </c>
      <c r="R206" s="40" t="n"/>
      <c r="S206" s="40" t="n"/>
      <c r="T206" s="58" t="n"/>
      <c r="U206" s="42" t="n"/>
      <c r="V206" s="55" t="str">
        <f>IF(OR(U206="",T206=""),"",U206-T206)</f>
        <v/>
      </c>
      <c r="W206" s="40" t="n"/>
      <c r="X206" s="42" t="n"/>
      <c r="Y206" s="40" t="n"/>
      <c r="Z206" s="32" t="str">
        <f>IF(C206="","",IF(OR(W206="Ordered",W206="Received",W206="Installed"),"Ordered",IF(AND(I206&lt;&gt;"",J206&lt;&gt;"",L206&lt;&gt;"",R206&lt;&gt;"",T206&lt;&gt;"",X206&lt;&gt;""),"READY","Missing: "&amp;_xlfn.TEXTJOIN(", ",TRUE,IF(I206="","model",""),IF(J206="","finish",""),IF(L206="","qty",""),IF(R206="","supplier",""),IF(T206="","lead time",""),IF(X206="","approval","")))))</f>
        <v/>
      </c>
      <c r="AA206" s="54" t="str">
        <f>IF(C206="","",IF(OR(W206="Ordered",W206="Received",W206="Installed"),"",IF(AND(G206&lt;&gt;"",X206="",G206&lt;TODAY()),"DECISION OVERDUE",IF(V206="","",IF(V206&lt;TODAY(),"ORDER OVERDUE",IF(V206-TODAY()&lt;=14,"ORDER SOON",""))))))</f>
        <v/>
      </c>
      <c r="AB206" s="35" t="str">
        <f>IF(Q206="","",IF(AND(X206="",Q206&gt;0),Q206,""))</f>
        <v/>
      </c>
      <c r="AC206" s="59" t="n"/>
      <c r="AD206" s="59" t="n"/>
      <c r="AE206" s="60" t="str">
        <f>IF(AND(C206&lt;&gt;"",B206='Client Sign-Off'!$D$7),COUNTIFS($B$6:B206,'Client Sign-Off'!$D$7,$C$6:C206,"?*"),"")</f>
        <v/>
      </c>
    </row>
    <row r="207" ht="18" customHeight="1">
      <c r="A207" s="54" t="str">
        <f>IF(C207="","",ROW()-5)</f>
        <v/>
      </c>
      <c r="B207" s="40" t="n"/>
      <c r="C207" s="40" t="n"/>
      <c r="D207" s="40" t="n"/>
      <c r="E207" s="40" t="n"/>
      <c r="F207" s="40" t="n"/>
      <c r="G207" s="55" t="str">
        <f>IF(F207="","",IFERROR(IF(INDEX(Project!$C$24:$C$27,MATCH(F207,Project!$B$24:$B$27,0))="","",INDEX(Project!$C$24:$C$27,MATCH(F207,Project!$B$24:$B$27,0))),""))</f>
        <v/>
      </c>
      <c r="H207" s="40" t="n"/>
      <c r="I207" s="40" t="n"/>
      <c r="J207" s="40" t="n"/>
      <c r="K207" s="40" t="n"/>
      <c r="L207" s="56" t="n"/>
      <c r="M207" s="40" t="n"/>
      <c r="N207" s="57" t="n"/>
      <c r="O207" s="35" t="str">
        <f>IF(OR(L207="",N207=""),"",L207*N207)</f>
        <v/>
      </c>
      <c r="P207" s="43" t="n"/>
      <c r="Q207" s="36" t="str">
        <f>IF(OR(O207="",P207=""),"",O207-P207)</f>
        <v/>
      </c>
      <c r="R207" s="40" t="n"/>
      <c r="S207" s="40" t="n"/>
      <c r="T207" s="58" t="n"/>
      <c r="U207" s="42" t="n"/>
      <c r="V207" s="55" t="str">
        <f>IF(OR(U207="",T207=""),"",U207-T207)</f>
        <v/>
      </c>
      <c r="W207" s="40" t="n"/>
      <c r="X207" s="42" t="n"/>
      <c r="Y207" s="40" t="n"/>
      <c r="Z207" s="32" t="str">
        <f>IF(C207="","",IF(OR(W207="Ordered",W207="Received",W207="Installed"),"Ordered",IF(AND(I207&lt;&gt;"",J207&lt;&gt;"",L207&lt;&gt;"",R207&lt;&gt;"",T207&lt;&gt;"",X207&lt;&gt;""),"READY","Missing: "&amp;_xlfn.TEXTJOIN(", ",TRUE,IF(I207="","model",""),IF(J207="","finish",""),IF(L207="","qty",""),IF(R207="","supplier",""),IF(T207="","lead time",""),IF(X207="","approval","")))))</f>
        <v/>
      </c>
      <c r="AA207" s="54" t="str">
        <f>IF(C207="","",IF(OR(W207="Ordered",W207="Received",W207="Installed"),"",IF(AND(G207&lt;&gt;"",X207="",G207&lt;TODAY()),"DECISION OVERDUE",IF(V207="","",IF(V207&lt;TODAY(),"ORDER OVERDUE",IF(V207-TODAY()&lt;=14,"ORDER SOON",""))))))</f>
        <v/>
      </c>
      <c r="AB207" s="35" t="str">
        <f>IF(Q207="","",IF(AND(X207="",Q207&gt;0),Q207,""))</f>
        <v/>
      </c>
      <c r="AC207" s="59" t="n"/>
      <c r="AD207" s="59" t="n"/>
      <c r="AE207" s="60" t="str">
        <f>IF(AND(C207&lt;&gt;"",B207='Client Sign-Off'!$D$7),COUNTIFS($B$6:B207,'Client Sign-Off'!$D$7,$C$6:C207,"?*"),"")</f>
        <v/>
      </c>
    </row>
    <row r="208" ht="18" customHeight="1">
      <c r="A208" s="54" t="str">
        <f>IF(C208="","",ROW()-5)</f>
        <v/>
      </c>
      <c r="B208" s="40" t="n"/>
      <c r="C208" s="40" t="n"/>
      <c r="D208" s="40" t="n"/>
      <c r="E208" s="40" t="n"/>
      <c r="F208" s="40" t="n"/>
      <c r="G208" s="55" t="str">
        <f>IF(F208="","",IFERROR(IF(INDEX(Project!$C$24:$C$27,MATCH(F208,Project!$B$24:$B$27,0))="","",INDEX(Project!$C$24:$C$27,MATCH(F208,Project!$B$24:$B$27,0))),""))</f>
        <v/>
      </c>
      <c r="H208" s="40" t="n"/>
      <c r="I208" s="40" t="n"/>
      <c r="J208" s="40" t="n"/>
      <c r="K208" s="40" t="n"/>
      <c r="L208" s="56" t="n"/>
      <c r="M208" s="40" t="n"/>
      <c r="N208" s="57" t="n"/>
      <c r="O208" s="35" t="str">
        <f>IF(OR(L208="",N208=""),"",L208*N208)</f>
        <v/>
      </c>
      <c r="P208" s="43" t="n"/>
      <c r="Q208" s="36" t="str">
        <f>IF(OR(O208="",P208=""),"",O208-P208)</f>
        <v/>
      </c>
      <c r="R208" s="40" t="n"/>
      <c r="S208" s="40" t="n"/>
      <c r="T208" s="58" t="n"/>
      <c r="U208" s="42" t="n"/>
      <c r="V208" s="55" t="str">
        <f>IF(OR(U208="",T208=""),"",U208-T208)</f>
        <v/>
      </c>
      <c r="W208" s="40" t="n"/>
      <c r="X208" s="42" t="n"/>
      <c r="Y208" s="40" t="n"/>
      <c r="Z208" s="32" t="str">
        <f>IF(C208="","",IF(OR(W208="Ordered",W208="Received",W208="Installed"),"Ordered",IF(AND(I208&lt;&gt;"",J208&lt;&gt;"",L208&lt;&gt;"",R208&lt;&gt;"",T208&lt;&gt;"",X208&lt;&gt;""),"READY","Missing: "&amp;_xlfn.TEXTJOIN(", ",TRUE,IF(I208="","model",""),IF(J208="","finish",""),IF(L208="","qty",""),IF(R208="","supplier",""),IF(T208="","lead time",""),IF(X208="","approval","")))))</f>
        <v/>
      </c>
      <c r="AA208" s="54" t="str">
        <f>IF(C208="","",IF(OR(W208="Ordered",W208="Received",W208="Installed"),"",IF(AND(G208&lt;&gt;"",X208="",G208&lt;TODAY()),"DECISION OVERDUE",IF(V208="","",IF(V208&lt;TODAY(),"ORDER OVERDUE",IF(V208-TODAY()&lt;=14,"ORDER SOON",""))))))</f>
        <v/>
      </c>
      <c r="AB208" s="35" t="str">
        <f>IF(Q208="","",IF(AND(X208="",Q208&gt;0),Q208,""))</f>
        <v/>
      </c>
      <c r="AC208" s="59" t="n"/>
      <c r="AD208" s="59" t="n"/>
      <c r="AE208" s="60" t="str">
        <f>IF(AND(C208&lt;&gt;"",B208='Client Sign-Off'!$D$7),COUNTIFS($B$6:B208,'Client Sign-Off'!$D$7,$C$6:C208,"?*"),"")</f>
        <v/>
      </c>
    </row>
    <row r="209" ht="18" customHeight="1">
      <c r="A209" s="54" t="str">
        <f>IF(C209="","",ROW()-5)</f>
        <v/>
      </c>
      <c r="B209" s="40" t="n"/>
      <c r="C209" s="40" t="n"/>
      <c r="D209" s="40" t="n"/>
      <c r="E209" s="40" t="n"/>
      <c r="F209" s="40" t="n"/>
      <c r="G209" s="55" t="str">
        <f>IF(F209="","",IFERROR(IF(INDEX(Project!$C$24:$C$27,MATCH(F209,Project!$B$24:$B$27,0))="","",INDEX(Project!$C$24:$C$27,MATCH(F209,Project!$B$24:$B$27,0))),""))</f>
        <v/>
      </c>
      <c r="H209" s="40" t="n"/>
      <c r="I209" s="40" t="n"/>
      <c r="J209" s="40" t="n"/>
      <c r="K209" s="40" t="n"/>
      <c r="L209" s="56" t="n"/>
      <c r="M209" s="40" t="n"/>
      <c r="N209" s="57" t="n"/>
      <c r="O209" s="35" t="str">
        <f>IF(OR(L209="",N209=""),"",L209*N209)</f>
        <v/>
      </c>
      <c r="P209" s="43" t="n"/>
      <c r="Q209" s="36" t="str">
        <f>IF(OR(O209="",P209=""),"",O209-P209)</f>
        <v/>
      </c>
      <c r="R209" s="40" t="n"/>
      <c r="S209" s="40" t="n"/>
      <c r="T209" s="58" t="n"/>
      <c r="U209" s="42" t="n"/>
      <c r="V209" s="55" t="str">
        <f>IF(OR(U209="",T209=""),"",U209-T209)</f>
        <v/>
      </c>
      <c r="W209" s="40" t="n"/>
      <c r="X209" s="42" t="n"/>
      <c r="Y209" s="40" t="n"/>
      <c r="Z209" s="32" t="str">
        <f>IF(C209="","",IF(OR(W209="Ordered",W209="Received",W209="Installed"),"Ordered",IF(AND(I209&lt;&gt;"",J209&lt;&gt;"",L209&lt;&gt;"",R209&lt;&gt;"",T209&lt;&gt;"",X209&lt;&gt;""),"READY","Missing: "&amp;_xlfn.TEXTJOIN(", ",TRUE,IF(I209="","model",""),IF(J209="","finish",""),IF(L209="","qty",""),IF(R209="","supplier",""),IF(T209="","lead time",""),IF(X209="","approval","")))))</f>
        <v/>
      </c>
      <c r="AA209" s="54" t="str">
        <f>IF(C209="","",IF(OR(W209="Ordered",W209="Received",W209="Installed"),"",IF(AND(G209&lt;&gt;"",X209="",G209&lt;TODAY()),"DECISION OVERDUE",IF(V209="","",IF(V209&lt;TODAY(),"ORDER OVERDUE",IF(V209-TODAY()&lt;=14,"ORDER SOON",""))))))</f>
        <v/>
      </c>
      <c r="AB209" s="35" t="str">
        <f>IF(Q209="","",IF(AND(X209="",Q209&gt;0),Q209,""))</f>
        <v/>
      </c>
      <c r="AC209" s="59" t="n"/>
      <c r="AD209" s="59" t="n"/>
      <c r="AE209" s="60" t="str">
        <f>IF(AND(C209&lt;&gt;"",B209='Client Sign-Off'!$D$7),COUNTIFS($B$6:B209,'Client Sign-Off'!$D$7,$C$6:C209,"?*"),"")</f>
        <v/>
      </c>
    </row>
    <row r="210" ht="18" customHeight="1">
      <c r="A210" s="54" t="str">
        <f>IF(C210="","",ROW()-5)</f>
        <v/>
      </c>
      <c r="B210" s="40" t="n"/>
      <c r="C210" s="40" t="n"/>
      <c r="D210" s="40" t="n"/>
      <c r="E210" s="40" t="n"/>
      <c r="F210" s="40" t="n"/>
      <c r="G210" s="55" t="str">
        <f>IF(F210="","",IFERROR(IF(INDEX(Project!$C$24:$C$27,MATCH(F210,Project!$B$24:$B$27,0))="","",INDEX(Project!$C$24:$C$27,MATCH(F210,Project!$B$24:$B$27,0))),""))</f>
        <v/>
      </c>
      <c r="H210" s="40" t="n"/>
      <c r="I210" s="40" t="n"/>
      <c r="J210" s="40" t="n"/>
      <c r="K210" s="40" t="n"/>
      <c r="L210" s="56" t="n"/>
      <c r="M210" s="40" t="n"/>
      <c r="N210" s="57" t="n"/>
      <c r="O210" s="35" t="str">
        <f>IF(OR(L210="",N210=""),"",L210*N210)</f>
        <v/>
      </c>
      <c r="P210" s="43" t="n"/>
      <c r="Q210" s="36" t="str">
        <f>IF(OR(O210="",P210=""),"",O210-P210)</f>
        <v/>
      </c>
      <c r="R210" s="40" t="n"/>
      <c r="S210" s="40" t="n"/>
      <c r="T210" s="58" t="n"/>
      <c r="U210" s="42" t="n"/>
      <c r="V210" s="55" t="str">
        <f>IF(OR(U210="",T210=""),"",U210-T210)</f>
        <v/>
      </c>
      <c r="W210" s="40" t="n"/>
      <c r="X210" s="42" t="n"/>
      <c r="Y210" s="40" t="n"/>
      <c r="Z210" s="32" t="str">
        <f>IF(C210="","",IF(OR(W210="Ordered",W210="Received",W210="Installed"),"Ordered",IF(AND(I210&lt;&gt;"",J210&lt;&gt;"",L210&lt;&gt;"",R210&lt;&gt;"",T210&lt;&gt;"",X210&lt;&gt;""),"READY","Missing: "&amp;_xlfn.TEXTJOIN(", ",TRUE,IF(I210="","model",""),IF(J210="","finish",""),IF(L210="","qty",""),IF(R210="","supplier",""),IF(T210="","lead time",""),IF(X210="","approval","")))))</f>
        <v/>
      </c>
      <c r="AA210" s="54" t="str">
        <f>IF(C210="","",IF(OR(W210="Ordered",W210="Received",W210="Installed"),"",IF(AND(G210&lt;&gt;"",X210="",G210&lt;TODAY()),"DECISION OVERDUE",IF(V210="","",IF(V210&lt;TODAY(),"ORDER OVERDUE",IF(V210-TODAY()&lt;=14,"ORDER SOON",""))))))</f>
        <v/>
      </c>
      <c r="AB210" s="35" t="str">
        <f>IF(Q210="","",IF(AND(X210="",Q210&gt;0),Q210,""))</f>
        <v/>
      </c>
      <c r="AC210" s="59" t="n"/>
      <c r="AD210" s="59" t="n"/>
      <c r="AE210" s="60" t="str">
        <f>IF(AND(C210&lt;&gt;"",B210='Client Sign-Off'!$D$7),COUNTIFS($B$6:B210,'Client Sign-Off'!$D$7,$C$6:C210,"?*"),"")</f>
        <v/>
      </c>
    </row>
    <row r="211" ht="18" customHeight="1">
      <c r="A211" s="54" t="str">
        <f>IF(C211="","",ROW()-5)</f>
        <v/>
      </c>
      <c r="B211" s="40" t="n"/>
      <c r="C211" s="40" t="n"/>
      <c r="D211" s="40" t="n"/>
      <c r="E211" s="40" t="n"/>
      <c r="F211" s="40" t="n"/>
      <c r="G211" s="55" t="str">
        <f>IF(F211="","",IFERROR(IF(INDEX(Project!$C$24:$C$27,MATCH(F211,Project!$B$24:$B$27,0))="","",INDEX(Project!$C$24:$C$27,MATCH(F211,Project!$B$24:$B$27,0))),""))</f>
        <v/>
      </c>
      <c r="H211" s="40" t="n"/>
      <c r="I211" s="40" t="n"/>
      <c r="J211" s="40" t="n"/>
      <c r="K211" s="40" t="n"/>
      <c r="L211" s="56" t="n"/>
      <c r="M211" s="40" t="n"/>
      <c r="N211" s="57" t="n"/>
      <c r="O211" s="35" t="str">
        <f>IF(OR(L211="",N211=""),"",L211*N211)</f>
        <v/>
      </c>
      <c r="P211" s="43" t="n"/>
      <c r="Q211" s="36" t="str">
        <f>IF(OR(O211="",P211=""),"",O211-P211)</f>
        <v/>
      </c>
      <c r="R211" s="40" t="n"/>
      <c r="S211" s="40" t="n"/>
      <c r="T211" s="58" t="n"/>
      <c r="U211" s="42" t="n"/>
      <c r="V211" s="55" t="str">
        <f>IF(OR(U211="",T211=""),"",U211-T211)</f>
        <v/>
      </c>
      <c r="W211" s="40" t="n"/>
      <c r="X211" s="42" t="n"/>
      <c r="Y211" s="40" t="n"/>
      <c r="Z211" s="32" t="str">
        <f>IF(C211="","",IF(OR(W211="Ordered",W211="Received",W211="Installed"),"Ordered",IF(AND(I211&lt;&gt;"",J211&lt;&gt;"",L211&lt;&gt;"",R211&lt;&gt;"",T211&lt;&gt;"",X211&lt;&gt;""),"READY","Missing: "&amp;_xlfn.TEXTJOIN(", ",TRUE,IF(I211="","model",""),IF(J211="","finish",""),IF(L211="","qty",""),IF(R211="","supplier",""),IF(T211="","lead time",""),IF(X211="","approval","")))))</f>
        <v/>
      </c>
      <c r="AA211" s="54" t="str">
        <f>IF(C211="","",IF(OR(W211="Ordered",W211="Received",W211="Installed"),"",IF(AND(G211&lt;&gt;"",X211="",G211&lt;TODAY()),"DECISION OVERDUE",IF(V211="","",IF(V211&lt;TODAY(),"ORDER OVERDUE",IF(V211-TODAY()&lt;=14,"ORDER SOON",""))))))</f>
        <v/>
      </c>
      <c r="AB211" s="35" t="str">
        <f>IF(Q211="","",IF(AND(X211="",Q211&gt;0),Q211,""))</f>
        <v/>
      </c>
      <c r="AC211" s="59" t="n"/>
      <c r="AD211" s="59" t="n"/>
      <c r="AE211" s="60" t="str">
        <f>IF(AND(C211&lt;&gt;"",B211='Client Sign-Off'!$D$7),COUNTIFS($B$6:B211,'Client Sign-Off'!$D$7,$C$6:C211,"?*"),"")</f>
        <v/>
      </c>
    </row>
    <row r="212" ht="18" customHeight="1">
      <c r="A212" s="54" t="str">
        <f>IF(C212="","",ROW()-5)</f>
        <v/>
      </c>
      <c r="B212" s="40" t="n"/>
      <c r="C212" s="40" t="n"/>
      <c r="D212" s="40" t="n"/>
      <c r="E212" s="40" t="n"/>
      <c r="F212" s="40" t="n"/>
      <c r="G212" s="55" t="str">
        <f>IF(F212="","",IFERROR(IF(INDEX(Project!$C$24:$C$27,MATCH(F212,Project!$B$24:$B$27,0))="","",INDEX(Project!$C$24:$C$27,MATCH(F212,Project!$B$24:$B$27,0))),""))</f>
        <v/>
      </c>
      <c r="H212" s="40" t="n"/>
      <c r="I212" s="40" t="n"/>
      <c r="J212" s="40" t="n"/>
      <c r="K212" s="40" t="n"/>
      <c r="L212" s="56" t="n"/>
      <c r="M212" s="40" t="n"/>
      <c r="N212" s="57" t="n"/>
      <c r="O212" s="35" t="str">
        <f>IF(OR(L212="",N212=""),"",L212*N212)</f>
        <v/>
      </c>
      <c r="P212" s="43" t="n"/>
      <c r="Q212" s="36" t="str">
        <f>IF(OR(O212="",P212=""),"",O212-P212)</f>
        <v/>
      </c>
      <c r="R212" s="40" t="n"/>
      <c r="S212" s="40" t="n"/>
      <c r="T212" s="58" t="n"/>
      <c r="U212" s="42" t="n"/>
      <c r="V212" s="55" t="str">
        <f>IF(OR(U212="",T212=""),"",U212-T212)</f>
        <v/>
      </c>
      <c r="W212" s="40" t="n"/>
      <c r="X212" s="42" t="n"/>
      <c r="Y212" s="40" t="n"/>
      <c r="Z212" s="32" t="str">
        <f>IF(C212="","",IF(OR(W212="Ordered",W212="Received",W212="Installed"),"Ordered",IF(AND(I212&lt;&gt;"",J212&lt;&gt;"",L212&lt;&gt;"",R212&lt;&gt;"",T212&lt;&gt;"",X212&lt;&gt;""),"READY","Missing: "&amp;_xlfn.TEXTJOIN(", ",TRUE,IF(I212="","model",""),IF(J212="","finish",""),IF(L212="","qty",""),IF(R212="","supplier",""),IF(T212="","lead time",""),IF(X212="","approval","")))))</f>
        <v/>
      </c>
      <c r="AA212" s="54" t="str">
        <f>IF(C212="","",IF(OR(W212="Ordered",W212="Received",W212="Installed"),"",IF(AND(G212&lt;&gt;"",X212="",G212&lt;TODAY()),"DECISION OVERDUE",IF(V212="","",IF(V212&lt;TODAY(),"ORDER OVERDUE",IF(V212-TODAY()&lt;=14,"ORDER SOON",""))))))</f>
        <v/>
      </c>
      <c r="AB212" s="35" t="str">
        <f>IF(Q212="","",IF(AND(X212="",Q212&gt;0),Q212,""))</f>
        <v/>
      </c>
      <c r="AC212" s="59" t="n"/>
      <c r="AD212" s="59" t="n"/>
      <c r="AE212" s="60" t="str">
        <f>IF(AND(C212&lt;&gt;"",B212='Client Sign-Off'!$D$7),COUNTIFS($B$6:B212,'Client Sign-Off'!$D$7,$C$6:C212,"?*"),"")</f>
        <v/>
      </c>
    </row>
    <row r="213" ht="18" customHeight="1">
      <c r="A213" s="54" t="str">
        <f>IF(C213="","",ROW()-5)</f>
        <v/>
      </c>
      <c r="B213" s="40" t="n"/>
      <c r="C213" s="40" t="n"/>
      <c r="D213" s="40" t="n"/>
      <c r="E213" s="40" t="n"/>
      <c r="F213" s="40" t="n"/>
      <c r="G213" s="55" t="str">
        <f>IF(F213="","",IFERROR(IF(INDEX(Project!$C$24:$C$27,MATCH(F213,Project!$B$24:$B$27,0))="","",INDEX(Project!$C$24:$C$27,MATCH(F213,Project!$B$24:$B$27,0))),""))</f>
        <v/>
      </c>
      <c r="H213" s="40" t="n"/>
      <c r="I213" s="40" t="n"/>
      <c r="J213" s="40" t="n"/>
      <c r="K213" s="40" t="n"/>
      <c r="L213" s="56" t="n"/>
      <c r="M213" s="40" t="n"/>
      <c r="N213" s="57" t="n"/>
      <c r="O213" s="35" t="str">
        <f>IF(OR(L213="",N213=""),"",L213*N213)</f>
        <v/>
      </c>
      <c r="P213" s="43" t="n"/>
      <c r="Q213" s="36" t="str">
        <f>IF(OR(O213="",P213=""),"",O213-P213)</f>
        <v/>
      </c>
      <c r="R213" s="40" t="n"/>
      <c r="S213" s="40" t="n"/>
      <c r="T213" s="58" t="n"/>
      <c r="U213" s="42" t="n"/>
      <c r="V213" s="55" t="str">
        <f>IF(OR(U213="",T213=""),"",U213-T213)</f>
        <v/>
      </c>
      <c r="W213" s="40" t="n"/>
      <c r="X213" s="42" t="n"/>
      <c r="Y213" s="40" t="n"/>
      <c r="Z213" s="32" t="str">
        <f>IF(C213="","",IF(OR(W213="Ordered",W213="Received",W213="Installed"),"Ordered",IF(AND(I213&lt;&gt;"",J213&lt;&gt;"",L213&lt;&gt;"",R213&lt;&gt;"",T213&lt;&gt;"",X213&lt;&gt;""),"READY","Missing: "&amp;_xlfn.TEXTJOIN(", ",TRUE,IF(I213="","model",""),IF(J213="","finish",""),IF(L213="","qty",""),IF(R213="","supplier",""),IF(T213="","lead time",""),IF(X213="","approval","")))))</f>
        <v/>
      </c>
      <c r="AA213" s="54" t="str">
        <f>IF(C213="","",IF(OR(W213="Ordered",W213="Received",W213="Installed"),"",IF(AND(G213&lt;&gt;"",X213="",G213&lt;TODAY()),"DECISION OVERDUE",IF(V213="","",IF(V213&lt;TODAY(),"ORDER OVERDUE",IF(V213-TODAY()&lt;=14,"ORDER SOON",""))))))</f>
        <v/>
      </c>
      <c r="AB213" s="35" t="str">
        <f>IF(Q213="","",IF(AND(X213="",Q213&gt;0),Q213,""))</f>
        <v/>
      </c>
      <c r="AC213" s="59" t="n"/>
      <c r="AD213" s="59" t="n"/>
      <c r="AE213" s="60" t="str">
        <f>IF(AND(C213&lt;&gt;"",B213='Client Sign-Off'!$D$7),COUNTIFS($B$6:B213,'Client Sign-Off'!$D$7,$C$6:C213,"?*"),"")</f>
        <v/>
      </c>
    </row>
    <row r="214" ht="18" customHeight="1">
      <c r="A214" s="54" t="str">
        <f>IF(C214="","",ROW()-5)</f>
        <v/>
      </c>
      <c r="B214" s="40" t="n"/>
      <c r="C214" s="40" t="n"/>
      <c r="D214" s="40" t="n"/>
      <c r="E214" s="40" t="n"/>
      <c r="F214" s="40" t="n"/>
      <c r="G214" s="55" t="str">
        <f>IF(F214="","",IFERROR(IF(INDEX(Project!$C$24:$C$27,MATCH(F214,Project!$B$24:$B$27,0))="","",INDEX(Project!$C$24:$C$27,MATCH(F214,Project!$B$24:$B$27,0))),""))</f>
        <v/>
      </c>
      <c r="H214" s="40" t="n"/>
      <c r="I214" s="40" t="n"/>
      <c r="J214" s="40" t="n"/>
      <c r="K214" s="40" t="n"/>
      <c r="L214" s="56" t="n"/>
      <c r="M214" s="40" t="n"/>
      <c r="N214" s="57" t="n"/>
      <c r="O214" s="35" t="str">
        <f>IF(OR(L214="",N214=""),"",L214*N214)</f>
        <v/>
      </c>
      <c r="P214" s="43" t="n"/>
      <c r="Q214" s="36" t="str">
        <f>IF(OR(O214="",P214=""),"",O214-P214)</f>
        <v/>
      </c>
      <c r="R214" s="40" t="n"/>
      <c r="S214" s="40" t="n"/>
      <c r="T214" s="58" t="n"/>
      <c r="U214" s="42" t="n"/>
      <c r="V214" s="55" t="str">
        <f>IF(OR(U214="",T214=""),"",U214-T214)</f>
        <v/>
      </c>
      <c r="W214" s="40" t="n"/>
      <c r="X214" s="42" t="n"/>
      <c r="Y214" s="40" t="n"/>
      <c r="Z214" s="32" t="str">
        <f>IF(C214="","",IF(OR(W214="Ordered",W214="Received",W214="Installed"),"Ordered",IF(AND(I214&lt;&gt;"",J214&lt;&gt;"",L214&lt;&gt;"",R214&lt;&gt;"",T214&lt;&gt;"",X214&lt;&gt;""),"READY","Missing: "&amp;_xlfn.TEXTJOIN(", ",TRUE,IF(I214="","model",""),IF(J214="","finish",""),IF(L214="","qty",""),IF(R214="","supplier",""),IF(T214="","lead time",""),IF(X214="","approval","")))))</f>
        <v/>
      </c>
      <c r="AA214" s="54" t="str">
        <f>IF(C214="","",IF(OR(W214="Ordered",W214="Received",W214="Installed"),"",IF(AND(G214&lt;&gt;"",X214="",G214&lt;TODAY()),"DECISION OVERDUE",IF(V214="","",IF(V214&lt;TODAY(),"ORDER OVERDUE",IF(V214-TODAY()&lt;=14,"ORDER SOON",""))))))</f>
        <v/>
      </c>
      <c r="AB214" s="35" t="str">
        <f>IF(Q214="","",IF(AND(X214="",Q214&gt;0),Q214,""))</f>
        <v/>
      </c>
      <c r="AC214" s="59" t="n"/>
      <c r="AD214" s="59" t="n"/>
      <c r="AE214" s="60" t="str">
        <f>IF(AND(C214&lt;&gt;"",B214='Client Sign-Off'!$D$7),COUNTIFS($B$6:B214,'Client Sign-Off'!$D$7,$C$6:C214,"?*"),"")</f>
        <v/>
      </c>
    </row>
    <row r="215" ht="18" customHeight="1">
      <c r="A215" s="54" t="str">
        <f>IF(C215="","",ROW()-5)</f>
        <v/>
      </c>
      <c r="B215" s="40" t="n"/>
      <c r="C215" s="40" t="n"/>
      <c r="D215" s="40" t="n"/>
      <c r="E215" s="40" t="n"/>
      <c r="F215" s="40" t="n"/>
      <c r="G215" s="55" t="str">
        <f>IF(F215="","",IFERROR(IF(INDEX(Project!$C$24:$C$27,MATCH(F215,Project!$B$24:$B$27,0))="","",INDEX(Project!$C$24:$C$27,MATCH(F215,Project!$B$24:$B$27,0))),""))</f>
        <v/>
      </c>
      <c r="H215" s="40" t="n"/>
      <c r="I215" s="40" t="n"/>
      <c r="J215" s="40" t="n"/>
      <c r="K215" s="40" t="n"/>
      <c r="L215" s="56" t="n"/>
      <c r="M215" s="40" t="n"/>
      <c r="N215" s="57" t="n"/>
      <c r="O215" s="35" t="str">
        <f>IF(OR(L215="",N215=""),"",L215*N215)</f>
        <v/>
      </c>
      <c r="P215" s="43" t="n"/>
      <c r="Q215" s="36" t="str">
        <f>IF(OR(O215="",P215=""),"",O215-P215)</f>
        <v/>
      </c>
      <c r="R215" s="40" t="n"/>
      <c r="S215" s="40" t="n"/>
      <c r="T215" s="58" t="n"/>
      <c r="U215" s="42" t="n"/>
      <c r="V215" s="55" t="str">
        <f>IF(OR(U215="",T215=""),"",U215-T215)</f>
        <v/>
      </c>
      <c r="W215" s="40" t="n"/>
      <c r="X215" s="42" t="n"/>
      <c r="Y215" s="40" t="n"/>
      <c r="Z215" s="32" t="str">
        <f>IF(C215="","",IF(OR(W215="Ordered",W215="Received",W215="Installed"),"Ordered",IF(AND(I215&lt;&gt;"",J215&lt;&gt;"",L215&lt;&gt;"",R215&lt;&gt;"",T215&lt;&gt;"",X215&lt;&gt;""),"READY","Missing: "&amp;_xlfn.TEXTJOIN(", ",TRUE,IF(I215="","model",""),IF(J215="","finish",""),IF(L215="","qty",""),IF(R215="","supplier",""),IF(T215="","lead time",""),IF(X215="","approval","")))))</f>
        <v/>
      </c>
      <c r="AA215" s="54" t="str">
        <f>IF(C215="","",IF(OR(W215="Ordered",W215="Received",W215="Installed"),"",IF(AND(G215&lt;&gt;"",X215="",G215&lt;TODAY()),"DECISION OVERDUE",IF(V215="","",IF(V215&lt;TODAY(),"ORDER OVERDUE",IF(V215-TODAY()&lt;=14,"ORDER SOON",""))))))</f>
        <v/>
      </c>
      <c r="AB215" s="35" t="str">
        <f>IF(Q215="","",IF(AND(X215="",Q215&gt;0),Q215,""))</f>
        <v/>
      </c>
      <c r="AC215" s="59" t="n"/>
      <c r="AD215" s="59" t="n"/>
      <c r="AE215" s="60" t="str">
        <f>IF(AND(C215&lt;&gt;"",B215='Client Sign-Off'!$D$7),COUNTIFS($B$6:B215,'Client Sign-Off'!$D$7,$C$6:C215,"?*"),"")</f>
        <v/>
      </c>
    </row>
    <row r="216" ht="18" customHeight="1">
      <c r="A216" s="54" t="str">
        <f>IF(C216="","",ROW()-5)</f>
        <v/>
      </c>
      <c r="B216" s="40" t="n"/>
      <c r="C216" s="40" t="n"/>
      <c r="D216" s="40" t="n"/>
      <c r="E216" s="40" t="n"/>
      <c r="F216" s="40" t="n"/>
      <c r="G216" s="55" t="str">
        <f>IF(F216="","",IFERROR(IF(INDEX(Project!$C$24:$C$27,MATCH(F216,Project!$B$24:$B$27,0))="","",INDEX(Project!$C$24:$C$27,MATCH(F216,Project!$B$24:$B$27,0))),""))</f>
        <v/>
      </c>
      <c r="H216" s="40" t="n"/>
      <c r="I216" s="40" t="n"/>
      <c r="J216" s="40" t="n"/>
      <c r="K216" s="40" t="n"/>
      <c r="L216" s="56" t="n"/>
      <c r="M216" s="40" t="n"/>
      <c r="N216" s="57" t="n"/>
      <c r="O216" s="35" t="str">
        <f>IF(OR(L216="",N216=""),"",L216*N216)</f>
        <v/>
      </c>
      <c r="P216" s="43" t="n"/>
      <c r="Q216" s="36" t="str">
        <f>IF(OR(O216="",P216=""),"",O216-P216)</f>
        <v/>
      </c>
      <c r="R216" s="40" t="n"/>
      <c r="S216" s="40" t="n"/>
      <c r="T216" s="58" t="n"/>
      <c r="U216" s="42" t="n"/>
      <c r="V216" s="55" t="str">
        <f>IF(OR(U216="",T216=""),"",U216-T216)</f>
        <v/>
      </c>
      <c r="W216" s="40" t="n"/>
      <c r="X216" s="42" t="n"/>
      <c r="Y216" s="40" t="n"/>
      <c r="Z216" s="32" t="str">
        <f>IF(C216="","",IF(OR(W216="Ordered",W216="Received",W216="Installed"),"Ordered",IF(AND(I216&lt;&gt;"",J216&lt;&gt;"",L216&lt;&gt;"",R216&lt;&gt;"",T216&lt;&gt;"",X216&lt;&gt;""),"READY","Missing: "&amp;_xlfn.TEXTJOIN(", ",TRUE,IF(I216="","model",""),IF(J216="","finish",""),IF(L216="","qty",""),IF(R216="","supplier",""),IF(T216="","lead time",""),IF(X216="","approval","")))))</f>
        <v/>
      </c>
      <c r="AA216" s="54" t="str">
        <f>IF(C216="","",IF(OR(W216="Ordered",W216="Received",W216="Installed"),"",IF(AND(G216&lt;&gt;"",X216="",G216&lt;TODAY()),"DECISION OVERDUE",IF(V216="","",IF(V216&lt;TODAY(),"ORDER OVERDUE",IF(V216-TODAY()&lt;=14,"ORDER SOON",""))))))</f>
        <v/>
      </c>
      <c r="AB216" s="35" t="str">
        <f>IF(Q216="","",IF(AND(X216="",Q216&gt;0),Q216,""))</f>
        <v/>
      </c>
      <c r="AC216" s="59" t="n"/>
      <c r="AD216" s="59" t="n"/>
      <c r="AE216" s="60" t="str">
        <f>IF(AND(C216&lt;&gt;"",B216='Client Sign-Off'!$D$7),COUNTIFS($B$6:B216,'Client Sign-Off'!$D$7,$C$6:C216,"?*"),"")</f>
        <v/>
      </c>
    </row>
    <row r="217" ht="18" customHeight="1">
      <c r="A217" s="54" t="str">
        <f>IF(C217="","",ROW()-5)</f>
        <v/>
      </c>
      <c r="B217" s="40" t="n"/>
      <c r="C217" s="40" t="n"/>
      <c r="D217" s="40" t="n"/>
      <c r="E217" s="40" t="n"/>
      <c r="F217" s="40" t="n"/>
      <c r="G217" s="55" t="str">
        <f>IF(F217="","",IFERROR(IF(INDEX(Project!$C$24:$C$27,MATCH(F217,Project!$B$24:$B$27,0))="","",INDEX(Project!$C$24:$C$27,MATCH(F217,Project!$B$24:$B$27,0))),""))</f>
        <v/>
      </c>
      <c r="H217" s="40" t="n"/>
      <c r="I217" s="40" t="n"/>
      <c r="J217" s="40" t="n"/>
      <c r="K217" s="40" t="n"/>
      <c r="L217" s="56" t="n"/>
      <c r="M217" s="40" t="n"/>
      <c r="N217" s="57" t="n"/>
      <c r="O217" s="35" t="str">
        <f>IF(OR(L217="",N217=""),"",L217*N217)</f>
        <v/>
      </c>
      <c r="P217" s="43" t="n"/>
      <c r="Q217" s="36" t="str">
        <f>IF(OR(O217="",P217=""),"",O217-P217)</f>
        <v/>
      </c>
      <c r="R217" s="40" t="n"/>
      <c r="S217" s="40" t="n"/>
      <c r="T217" s="58" t="n"/>
      <c r="U217" s="42" t="n"/>
      <c r="V217" s="55" t="str">
        <f>IF(OR(U217="",T217=""),"",U217-T217)</f>
        <v/>
      </c>
      <c r="W217" s="40" t="n"/>
      <c r="X217" s="42" t="n"/>
      <c r="Y217" s="40" t="n"/>
      <c r="Z217" s="32" t="str">
        <f>IF(C217="","",IF(OR(W217="Ordered",W217="Received",W217="Installed"),"Ordered",IF(AND(I217&lt;&gt;"",J217&lt;&gt;"",L217&lt;&gt;"",R217&lt;&gt;"",T217&lt;&gt;"",X217&lt;&gt;""),"READY","Missing: "&amp;_xlfn.TEXTJOIN(", ",TRUE,IF(I217="","model",""),IF(J217="","finish",""),IF(L217="","qty",""),IF(R217="","supplier",""),IF(T217="","lead time",""),IF(X217="","approval","")))))</f>
        <v/>
      </c>
      <c r="AA217" s="54" t="str">
        <f>IF(C217="","",IF(OR(W217="Ordered",W217="Received",W217="Installed"),"",IF(AND(G217&lt;&gt;"",X217="",G217&lt;TODAY()),"DECISION OVERDUE",IF(V217="","",IF(V217&lt;TODAY(),"ORDER OVERDUE",IF(V217-TODAY()&lt;=14,"ORDER SOON",""))))))</f>
        <v/>
      </c>
      <c r="AB217" s="35" t="str">
        <f>IF(Q217="","",IF(AND(X217="",Q217&gt;0),Q217,""))</f>
        <v/>
      </c>
      <c r="AC217" s="59" t="n"/>
      <c r="AD217" s="59" t="n"/>
      <c r="AE217" s="60" t="str">
        <f>IF(AND(C217&lt;&gt;"",B217='Client Sign-Off'!$D$7),COUNTIFS($B$6:B217,'Client Sign-Off'!$D$7,$C$6:C217,"?*"),"")</f>
        <v/>
      </c>
    </row>
    <row r="218" ht="18" customHeight="1">
      <c r="A218" s="54" t="str">
        <f>IF(C218="","",ROW()-5)</f>
        <v/>
      </c>
      <c r="B218" s="40" t="n"/>
      <c r="C218" s="40" t="n"/>
      <c r="D218" s="40" t="n"/>
      <c r="E218" s="40" t="n"/>
      <c r="F218" s="40" t="n"/>
      <c r="G218" s="55" t="str">
        <f>IF(F218="","",IFERROR(IF(INDEX(Project!$C$24:$C$27,MATCH(F218,Project!$B$24:$B$27,0))="","",INDEX(Project!$C$24:$C$27,MATCH(F218,Project!$B$24:$B$27,0))),""))</f>
        <v/>
      </c>
      <c r="H218" s="40" t="n"/>
      <c r="I218" s="40" t="n"/>
      <c r="J218" s="40" t="n"/>
      <c r="K218" s="40" t="n"/>
      <c r="L218" s="56" t="n"/>
      <c r="M218" s="40" t="n"/>
      <c r="N218" s="57" t="n"/>
      <c r="O218" s="35" t="str">
        <f>IF(OR(L218="",N218=""),"",L218*N218)</f>
        <v/>
      </c>
      <c r="P218" s="43" t="n"/>
      <c r="Q218" s="36" t="str">
        <f>IF(OR(O218="",P218=""),"",O218-P218)</f>
        <v/>
      </c>
      <c r="R218" s="40" t="n"/>
      <c r="S218" s="40" t="n"/>
      <c r="T218" s="58" t="n"/>
      <c r="U218" s="42" t="n"/>
      <c r="V218" s="55" t="str">
        <f>IF(OR(U218="",T218=""),"",U218-T218)</f>
        <v/>
      </c>
      <c r="W218" s="40" t="n"/>
      <c r="X218" s="42" t="n"/>
      <c r="Y218" s="40" t="n"/>
      <c r="Z218" s="32" t="str">
        <f>IF(C218="","",IF(OR(W218="Ordered",W218="Received",W218="Installed"),"Ordered",IF(AND(I218&lt;&gt;"",J218&lt;&gt;"",L218&lt;&gt;"",R218&lt;&gt;"",T218&lt;&gt;"",X218&lt;&gt;""),"READY","Missing: "&amp;_xlfn.TEXTJOIN(", ",TRUE,IF(I218="","model",""),IF(J218="","finish",""),IF(L218="","qty",""),IF(R218="","supplier",""),IF(T218="","lead time",""),IF(X218="","approval","")))))</f>
        <v/>
      </c>
      <c r="AA218" s="54" t="str">
        <f>IF(C218="","",IF(OR(W218="Ordered",W218="Received",W218="Installed"),"",IF(AND(G218&lt;&gt;"",X218="",G218&lt;TODAY()),"DECISION OVERDUE",IF(V218="","",IF(V218&lt;TODAY(),"ORDER OVERDUE",IF(V218-TODAY()&lt;=14,"ORDER SOON",""))))))</f>
        <v/>
      </c>
      <c r="AB218" s="35" t="str">
        <f>IF(Q218="","",IF(AND(X218="",Q218&gt;0),Q218,""))</f>
        <v/>
      </c>
      <c r="AC218" s="59" t="n"/>
      <c r="AD218" s="59" t="n"/>
      <c r="AE218" s="60" t="str">
        <f>IF(AND(C218&lt;&gt;"",B218='Client Sign-Off'!$D$7),COUNTIFS($B$6:B218,'Client Sign-Off'!$D$7,$C$6:C218,"?*"),"")</f>
        <v/>
      </c>
    </row>
    <row r="219" ht="18" customHeight="1">
      <c r="A219" s="54" t="str">
        <f>IF(C219="","",ROW()-5)</f>
        <v/>
      </c>
      <c r="B219" s="40" t="n"/>
      <c r="C219" s="40" t="n"/>
      <c r="D219" s="40" t="n"/>
      <c r="E219" s="40" t="n"/>
      <c r="F219" s="40" t="n"/>
      <c r="G219" s="55" t="str">
        <f>IF(F219="","",IFERROR(IF(INDEX(Project!$C$24:$C$27,MATCH(F219,Project!$B$24:$B$27,0))="","",INDEX(Project!$C$24:$C$27,MATCH(F219,Project!$B$24:$B$27,0))),""))</f>
        <v/>
      </c>
      <c r="H219" s="40" t="n"/>
      <c r="I219" s="40" t="n"/>
      <c r="J219" s="40" t="n"/>
      <c r="K219" s="40" t="n"/>
      <c r="L219" s="56" t="n"/>
      <c r="M219" s="40" t="n"/>
      <c r="N219" s="57" t="n"/>
      <c r="O219" s="35" t="str">
        <f>IF(OR(L219="",N219=""),"",L219*N219)</f>
        <v/>
      </c>
      <c r="P219" s="43" t="n"/>
      <c r="Q219" s="36" t="str">
        <f>IF(OR(O219="",P219=""),"",O219-P219)</f>
        <v/>
      </c>
      <c r="R219" s="40" t="n"/>
      <c r="S219" s="40" t="n"/>
      <c r="T219" s="58" t="n"/>
      <c r="U219" s="42" t="n"/>
      <c r="V219" s="55" t="str">
        <f>IF(OR(U219="",T219=""),"",U219-T219)</f>
        <v/>
      </c>
      <c r="W219" s="40" t="n"/>
      <c r="X219" s="42" t="n"/>
      <c r="Y219" s="40" t="n"/>
      <c r="Z219" s="32" t="str">
        <f>IF(C219="","",IF(OR(W219="Ordered",W219="Received",W219="Installed"),"Ordered",IF(AND(I219&lt;&gt;"",J219&lt;&gt;"",L219&lt;&gt;"",R219&lt;&gt;"",T219&lt;&gt;"",X219&lt;&gt;""),"READY","Missing: "&amp;_xlfn.TEXTJOIN(", ",TRUE,IF(I219="","model",""),IF(J219="","finish",""),IF(L219="","qty",""),IF(R219="","supplier",""),IF(T219="","lead time",""),IF(X219="","approval","")))))</f>
        <v/>
      </c>
      <c r="AA219" s="54" t="str">
        <f>IF(C219="","",IF(OR(W219="Ordered",W219="Received",W219="Installed"),"",IF(AND(G219&lt;&gt;"",X219="",G219&lt;TODAY()),"DECISION OVERDUE",IF(V219="","",IF(V219&lt;TODAY(),"ORDER OVERDUE",IF(V219-TODAY()&lt;=14,"ORDER SOON",""))))))</f>
        <v/>
      </c>
      <c r="AB219" s="35" t="str">
        <f>IF(Q219="","",IF(AND(X219="",Q219&gt;0),Q219,""))</f>
        <v/>
      </c>
      <c r="AC219" s="59" t="n"/>
      <c r="AD219" s="59" t="n"/>
      <c r="AE219" s="60" t="str">
        <f>IF(AND(C219&lt;&gt;"",B219='Client Sign-Off'!$D$7),COUNTIFS($B$6:B219,'Client Sign-Off'!$D$7,$C$6:C219,"?*"),"")</f>
        <v/>
      </c>
    </row>
    <row r="220" ht="18" customHeight="1">
      <c r="A220" s="54" t="str">
        <f>IF(C220="","",ROW()-5)</f>
        <v/>
      </c>
      <c r="B220" s="40" t="n"/>
      <c r="C220" s="40" t="n"/>
      <c r="D220" s="40" t="n"/>
      <c r="E220" s="40" t="n"/>
      <c r="F220" s="40" t="n"/>
      <c r="G220" s="55" t="str">
        <f>IF(F220="","",IFERROR(IF(INDEX(Project!$C$24:$C$27,MATCH(F220,Project!$B$24:$B$27,0))="","",INDEX(Project!$C$24:$C$27,MATCH(F220,Project!$B$24:$B$27,0))),""))</f>
        <v/>
      </c>
      <c r="H220" s="40" t="n"/>
      <c r="I220" s="40" t="n"/>
      <c r="J220" s="40" t="n"/>
      <c r="K220" s="40" t="n"/>
      <c r="L220" s="56" t="n"/>
      <c r="M220" s="40" t="n"/>
      <c r="N220" s="57" t="n"/>
      <c r="O220" s="35" t="str">
        <f>IF(OR(L220="",N220=""),"",L220*N220)</f>
        <v/>
      </c>
      <c r="P220" s="43" t="n"/>
      <c r="Q220" s="36" t="str">
        <f>IF(OR(O220="",P220=""),"",O220-P220)</f>
        <v/>
      </c>
      <c r="R220" s="40" t="n"/>
      <c r="S220" s="40" t="n"/>
      <c r="T220" s="58" t="n"/>
      <c r="U220" s="42" t="n"/>
      <c r="V220" s="55" t="str">
        <f>IF(OR(U220="",T220=""),"",U220-T220)</f>
        <v/>
      </c>
      <c r="W220" s="40" t="n"/>
      <c r="X220" s="42" t="n"/>
      <c r="Y220" s="40" t="n"/>
      <c r="Z220" s="32" t="str">
        <f>IF(C220="","",IF(OR(W220="Ordered",W220="Received",W220="Installed"),"Ordered",IF(AND(I220&lt;&gt;"",J220&lt;&gt;"",L220&lt;&gt;"",R220&lt;&gt;"",T220&lt;&gt;"",X220&lt;&gt;""),"READY","Missing: "&amp;_xlfn.TEXTJOIN(", ",TRUE,IF(I220="","model",""),IF(J220="","finish",""),IF(L220="","qty",""),IF(R220="","supplier",""),IF(T220="","lead time",""),IF(X220="","approval","")))))</f>
        <v/>
      </c>
      <c r="AA220" s="54" t="str">
        <f>IF(C220="","",IF(OR(W220="Ordered",W220="Received",W220="Installed"),"",IF(AND(G220&lt;&gt;"",X220="",G220&lt;TODAY()),"DECISION OVERDUE",IF(V220="","",IF(V220&lt;TODAY(),"ORDER OVERDUE",IF(V220-TODAY()&lt;=14,"ORDER SOON",""))))))</f>
        <v/>
      </c>
      <c r="AB220" s="35" t="str">
        <f>IF(Q220="","",IF(AND(X220="",Q220&gt;0),Q220,""))</f>
        <v/>
      </c>
      <c r="AC220" s="59" t="n"/>
      <c r="AD220" s="59" t="n"/>
      <c r="AE220" s="60" t="str">
        <f>IF(AND(C220&lt;&gt;"",B220='Client Sign-Off'!$D$7),COUNTIFS($B$6:B220,'Client Sign-Off'!$D$7,$C$6:C220,"?*"),"")</f>
        <v/>
      </c>
    </row>
    <row r="221" ht="18" customHeight="1">
      <c r="A221" s="54" t="str">
        <f>IF(C221="","",ROW()-5)</f>
        <v/>
      </c>
      <c r="B221" s="40" t="n"/>
      <c r="C221" s="40" t="n"/>
      <c r="D221" s="40" t="n"/>
      <c r="E221" s="40" t="n"/>
      <c r="F221" s="40" t="n"/>
      <c r="G221" s="55" t="str">
        <f>IF(F221="","",IFERROR(IF(INDEX(Project!$C$24:$C$27,MATCH(F221,Project!$B$24:$B$27,0))="","",INDEX(Project!$C$24:$C$27,MATCH(F221,Project!$B$24:$B$27,0))),""))</f>
        <v/>
      </c>
      <c r="H221" s="40" t="n"/>
      <c r="I221" s="40" t="n"/>
      <c r="J221" s="40" t="n"/>
      <c r="K221" s="40" t="n"/>
      <c r="L221" s="56" t="n"/>
      <c r="M221" s="40" t="n"/>
      <c r="N221" s="57" t="n"/>
      <c r="O221" s="35" t="str">
        <f>IF(OR(L221="",N221=""),"",L221*N221)</f>
        <v/>
      </c>
      <c r="P221" s="43" t="n"/>
      <c r="Q221" s="36" t="str">
        <f>IF(OR(O221="",P221=""),"",O221-P221)</f>
        <v/>
      </c>
      <c r="R221" s="40" t="n"/>
      <c r="S221" s="40" t="n"/>
      <c r="T221" s="58" t="n"/>
      <c r="U221" s="42" t="n"/>
      <c r="V221" s="55" t="str">
        <f>IF(OR(U221="",T221=""),"",U221-T221)</f>
        <v/>
      </c>
      <c r="W221" s="40" t="n"/>
      <c r="X221" s="42" t="n"/>
      <c r="Y221" s="40" t="n"/>
      <c r="Z221" s="32" t="str">
        <f>IF(C221="","",IF(OR(W221="Ordered",W221="Received",W221="Installed"),"Ordered",IF(AND(I221&lt;&gt;"",J221&lt;&gt;"",L221&lt;&gt;"",R221&lt;&gt;"",T221&lt;&gt;"",X221&lt;&gt;""),"READY","Missing: "&amp;_xlfn.TEXTJOIN(", ",TRUE,IF(I221="","model",""),IF(J221="","finish",""),IF(L221="","qty",""),IF(R221="","supplier",""),IF(T221="","lead time",""),IF(X221="","approval","")))))</f>
        <v/>
      </c>
      <c r="AA221" s="54" t="str">
        <f>IF(C221="","",IF(OR(W221="Ordered",W221="Received",W221="Installed"),"",IF(AND(G221&lt;&gt;"",X221="",G221&lt;TODAY()),"DECISION OVERDUE",IF(V221="","",IF(V221&lt;TODAY(),"ORDER OVERDUE",IF(V221-TODAY()&lt;=14,"ORDER SOON",""))))))</f>
        <v/>
      </c>
      <c r="AB221" s="35" t="str">
        <f>IF(Q221="","",IF(AND(X221="",Q221&gt;0),Q221,""))</f>
        <v/>
      </c>
      <c r="AC221" s="59" t="n"/>
      <c r="AD221" s="59" t="n"/>
      <c r="AE221" s="60" t="str">
        <f>IF(AND(C221&lt;&gt;"",B221='Client Sign-Off'!$D$7),COUNTIFS($B$6:B221,'Client Sign-Off'!$D$7,$C$6:C221,"?*"),"")</f>
        <v/>
      </c>
    </row>
    <row r="222" ht="18" customHeight="1">
      <c r="A222" s="54" t="str">
        <f>IF(C222="","",ROW()-5)</f>
        <v/>
      </c>
      <c r="B222" s="40" t="n"/>
      <c r="C222" s="40" t="n"/>
      <c r="D222" s="40" t="n"/>
      <c r="E222" s="40" t="n"/>
      <c r="F222" s="40" t="n"/>
      <c r="G222" s="55" t="str">
        <f>IF(F222="","",IFERROR(IF(INDEX(Project!$C$24:$C$27,MATCH(F222,Project!$B$24:$B$27,0))="","",INDEX(Project!$C$24:$C$27,MATCH(F222,Project!$B$24:$B$27,0))),""))</f>
        <v/>
      </c>
      <c r="H222" s="40" t="n"/>
      <c r="I222" s="40" t="n"/>
      <c r="J222" s="40" t="n"/>
      <c r="K222" s="40" t="n"/>
      <c r="L222" s="56" t="n"/>
      <c r="M222" s="40" t="n"/>
      <c r="N222" s="57" t="n"/>
      <c r="O222" s="35" t="str">
        <f>IF(OR(L222="",N222=""),"",L222*N222)</f>
        <v/>
      </c>
      <c r="P222" s="43" t="n"/>
      <c r="Q222" s="36" t="str">
        <f>IF(OR(O222="",P222=""),"",O222-P222)</f>
        <v/>
      </c>
      <c r="R222" s="40" t="n"/>
      <c r="S222" s="40" t="n"/>
      <c r="T222" s="58" t="n"/>
      <c r="U222" s="42" t="n"/>
      <c r="V222" s="55" t="str">
        <f>IF(OR(U222="",T222=""),"",U222-T222)</f>
        <v/>
      </c>
      <c r="W222" s="40" t="n"/>
      <c r="X222" s="42" t="n"/>
      <c r="Y222" s="40" t="n"/>
      <c r="Z222" s="32" t="str">
        <f>IF(C222="","",IF(OR(W222="Ordered",W222="Received",W222="Installed"),"Ordered",IF(AND(I222&lt;&gt;"",J222&lt;&gt;"",L222&lt;&gt;"",R222&lt;&gt;"",T222&lt;&gt;"",X222&lt;&gt;""),"READY","Missing: "&amp;_xlfn.TEXTJOIN(", ",TRUE,IF(I222="","model",""),IF(J222="","finish",""),IF(L222="","qty",""),IF(R222="","supplier",""),IF(T222="","lead time",""),IF(X222="","approval","")))))</f>
        <v/>
      </c>
      <c r="AA222" s="54" t="str">
        <f>IF(C222="","",IF(OR(W222="Ordered",W222="Received",W222="Installed"),"",IF(AND(G222&lt;&gt;"",X222="",G222&lt;TODAY()),"DECISION OVERDUE",IF(V222="","",IF(V222&lt;TODAY(),"ORDER OVERDUE",IF(V222-TODAY()&lt;=14,"ORDER SOON",""))))))</f>
        <v/>
      </c>
      <c r="AB222" s="35" t="str">
        <f>IF(Q222="","",IF(AND(X222="",Q222&gt;0),Q222,""))</f>
        <v/>
      </c>
      <c r="AC222" s="59" t="n"/>
      <c r="AD222" s="59" t="n"/>
      <c r="AE222" s="60" t="str">
        <f>IF(AND(C222&lt;&gt;"",B222='Client Sign-Off'!$D$7),COUNTIFS($B$6:B222,'Client Sign-Off'!$D$7,$C$6:C222,"?*"),"")</f>
        <v/>
      </c>
    </row>
    <row r="223" ht="18" customHeight="1">
      <c r="A223" s="54" t="str">
        <f>IF(C223="","",ROW()-5)</f>
        <v/>
      </c>
      <c r="B223" s="40" t="n"/>
      <c r="C223" s="40" t="n"/>
      <c r="D223" s="40" t="n"/>
      <c r="E223" s="40" t="n"/>
      <c r="F223" s="40" t="n"/>
      <c r="G223" s="55" t="str">
        <f>IF(F223="","",IFERROR(IF(INDEX(Project!$C$24:$C$27,MATCH(F223,Project!$B$24:$B$27,0))="","",INDEX(Project!$C$24:$C$27,MATCH(F223,Project!$B$24:$B$27,0))),""))</f>
        <v/>
      </c>
      <c r="H223" s="40" t="n"/>
      <c r="I223" s="40" t="n"/>
      <c r="J223" s="40" t="n"/>
      <c r="K223" s="40" t="n"/>
      <c r="L223" s="56" t="n"/>
      <c r="M223" s="40" t="n"/>
      <c r="N223" s="57" t="n"/>
      <c r="O223" s="35" t="str">
        <f>IF(OR(L223="",N223=""),"",L223*N223)</f>
        <v/>
      </c>
      <c r="P223" s="43" t="n"/>
      <c r="Q223" s="36" t="str">
        <f>IF(OR(O223="",P223=""),"",O223-P223)</f>
        <v/>
      </c>
      <c r="R223" s="40" t="n"/>
      <c r="S223" s="40" t="n"/>
      <c r="T223" s="58" t="n"/>
      <c r="U223" s="42" t="n"/>
      <c r="V223" s="55" t="str">
        <f>IF(OR(U223="",T223=""),"",U223-T223)</f>
        <v/>
      </c>
      <c r="W223" s="40" t="n"/>
      <c r="X223" s="42" t="n"/>
      <c r="Y223" s="40" t="n"/>
      <c r="Z223" s="32" t="str">
        <f>IF(C223="","",IF(OR(W223="Ordered",W223="Received",W223="Installed"),"Ordered",IF(AND(I223&lt;&gt;"",J223&lt;&gt;"",L223&lt;&gt;"",R223&lt;&gt;"",T223&lt;&gt;"",X223&lt;&gt;""),"READY","Missing: "&amp;_xlfn.TEXTJOIN(", ",TRUE,IF(I223="","model",""),IF(J223="","finish",""),IF(L223="","qty",""),IF(R223="","supplier",""),IF(T223="","lead time",""),IF(X223="","approval","")))))</f>
        <v/>
      </c>
      <c r="AA223" s="54" t="str">
        <f>IF(C223="","",IF(OR(W223="Ordered",W223="Received",W223="Installed"),"",IF(AND(G223&lt;&gt;"",X223="",G223&lt;TODAY()),"DECISION OVERDUE",IF(V223="","",IF(V223&lt;TODAY(),"ORDER OVERDUE",IF(V223-TODAY()&lt;=14,"ORDER SOON",""))))))</f>
        <v/>
      </c>
      <c r="AB223" s="35" t="str">
        <f>IF(Q223="","",IF(AND(X223="",Q223&gt;0),Q223,""))</f>
        <v/>
      </c>
      <c r="AC223" s="59" t="n"/>
      <c r="AD223" s="59" t="n"/>
      <c r="AE223" s="60" t="str">
        <f>IF(AND(C223&lt;&gt;"",B223='Client Sign-Off'!$D$7),COUNTIFS($B$6:B223,'Client Sign-Off'!$D$7,$C$6:C223,"?*"),"")</f>
        <v/>
      </c>
    </row>
    <row r="224" ht="18" customHeight="1">
      <c r="A224" s="54" t="str">
        <f>IF(C224="","",ROW()-5)</f>
        <v/>
      </c>
      <c r="B224" s="40" t="n"/>
      <c r="C224" s="40" t="n"/>
      <c r="D224" s="40" t="n"/>
      <c r="E224" s="40" t="n"/>
      <c r="F224" s="40" t="n"/>
      <c r="G224" s="55" t="str">
        <f>IF(F224="","",IFERROR(IF(INDEX(Project!$C$24:$C$27,MATCH(F224,Project!$B$24:$B$27,0))="","",INDEX(Project!$C$24:$C$27,MATCH(F224,Project!$B$24:$B$27,0))),""))</f>
        <v/>
      </c>
      <c r="H224" s="40" t="n"/>
      <c r="I224" s="40" t="n"/>
      <c r="J224" s="40" t="n"/>
      <c r="K224" s="40" t="n"/>
      <c r="L224" s="56" t="n"/>
      <c r="M224" s="40" t="n"/>
      <c r="N224" s="57" t="n"/>
      <c r="O224" s="35" t="str">
        <f>IF(OR(L224="",N224=""),"",L224*N224)</f>
        <v/>
      </c>
      <c r="P224" s="43" t="n"/>
      <c r="Q224" s="36" t="str">
        <f>IF(OR(O224="",P224=""),"",O224-P224)</f>
        <v/>
      </c>
      <c r="R224" s="40" t="n"/>
      <c r="S224" s="40" t="n"/>
      <c r="T224" s="58" t="n"/>
      <c r="U224" s="42" t="n"/>
      <c r="V224" s="55" t="str">
        <f>IF(OR(U224="",T224=""),"",U224-T224)</f>
        <v/>
      </c>
      <c r="W224" s="40" t="n"/>
      <c r="X224" s="42" t="n"/>
      <c r="Y224" s="40" t="n"/>
      <c r="Z224" s="32" t="str">
        <f>IF(C224="","",IF(OR(W224="Ordered",W224="Received",W224="Installed"),"Ordered",IF(AND(I224&lt;&gt;"",J224&lt;&gt;"",L224&lt;&gt;"",R224&lt;&gt;"",T224&lt;&gt;"",X224&lt;&gt;""),"READY","Missing: "&amp;_xlfn.TEXTJOIN(", ",TRUE,IF(I224="","model",""),IF(J224="","finish",""),IF(L224="","qty",""),IF(R224="","supplier",""),IF(T224="","lead time",""),IF(X224="","approval","")))))</f>
        <v/>
      </c>
      <c r="AA224" s="54" t="str">
        <f>IF(C224="","",IF(OR(W224="Ordered",W224="Received",W224="Installed"),"",IF(AND(G224&lt;&gt;"",X224="",G224&lt;TODAY()),"DECISION OVERDUE",IF(V224="","",IF(V224&lt;TODAY(),"ORDER OVERDUE",IF(V224-TODAY()&lt;=14,"ORDER SOON",""))))))</f>
        <v/>
      </c>
      <c r="AB224" s="35" t="str">
        <f>IF(Q224="","",IF(AND(X224="",Q224&gt;0),Q224,""))</f>
        <v/>
      </c>
      <c r="AC224" s="59" t="n"/>
      <c r="AD224" s="59" t="n"/>
      <c r="AE224" s="60" t="str">
        <f>IF(AND(C224&lt;&gt;"",B224='Client Sign-Off'!$D$7),COUNTIFS($B$6:B224,'Client Sign-Off'!$D$7,$C$6:C224,"?*"),"")</f>
        <v/>
      </c>
    </row>
    <row r="225" ht="18" customHeight="1">
      <c r="A225" s="54" t="str">
        <f>IF(C225="","",ROW()-5)</f>
        <v/>
      </c>
      <c r="B225" s="40" t="n"/>
      <c r="C225" s="40" t="n"/>
      <c r="D225" s="40" t="n"/>
      <c r="E225" s="40" t="n"/>
      <c r="F225" s="40" t="n"/>
      <c r="G225" s="55" t="str">
        <f>IF(F225="","",IFERROR(IF(INDEX(Project!$C$24:$C$27,MATCH(F225,Project!$B$24:$B$27,0))="","",INDEX(Project!$C$24:$C$27,MATCH(F225,Project!$B$24:$B$27,0))),""))</f>
        <v/>
      </c>
      <c r="H225" s="40" t="n"/>
      <c r="I225" s="40" t="n"/>
      <c r="J225" s="40" t="n"/>
      <c r="K225" s="40" t="n"/>
      <c r="L225" s="56" t="n"/>
      <c r="M225" s="40" t="n"/>
      <c r="N225" s="57" t="n"/>
      <c r="O225" s="35" t="str">
        <f>IF(OR(L225="",N225=""),"",L225*N225)</f>
        <v/>
      </c>
      <c r="P225" s="43" t="n"/>
      <c r="Q225" s="36" t="str">
        <f>IF(OR(O225="",P225=""),"",O225-P225)</f>
        <v/>
      </c>
      <c r="R225" s="40" t="n"/>
      <c r="S225" s="40" t="n"/>
      <c r="T225" s="58" t="n"/>
      <c r="U225" s="42" t="n"/>
      <c r="V225" s="55" t="str">
        <f>IF(OR(U225="",T225=""),"",U225-T225)</f>
        <v/>
      </c>
      <c r="W225" s="40" t="n"/>
      <c r="X225" s="42" t="n"/>
      <c r="Y225" s="40" t="n"/>
      <c r="Z225" s="32" t="str">
        <f>IF(C225="","",IF(OR(W225="Ordered",W225="Received",W225="Installed"),"Ordered",IF(AND(I225&lt;&gt;"",J225&lt;&gt;"",L225&lt;&gt;"",R225&lt;&gt;"",T225&lt;&gt;"",X225&lt;&gt;""),"READY","Missing: "&amp;_xlfn.TEXTJOIN(", ",TRUE,IF(I225="","model",""),IF(J225="","finish",""),IF(L225="","qty",""),IF(R225="","supplier",""),IF(T225="","lead time",""),IF(X225="","approval","")))))</f>
        <v/>
      </c>
      <c r="AA225" s="54" t="str">
        <f>IF(C225="","",IF(OR(W225="Ordered",W225="Received",W225="Installed"),"",IF(AND(G225&lt;&gt;"",X225="",G225&lt;TODAY()),"DECISION OVERDUE",IF(V225="","",IF(V225&lt;TODAY(),"ORDER OVERDUE",IF(V225-TODAY()&lt;=14,"ORDER SOON",""))))))</f>
        <v/>
      </c>
      <c r="AB225" s="35" t="str">
        <f>IF(Q225="","",IF(AND(X225="",Q225&gt;0),Q225,""))</f>
        <v/>
      </c>
      <c r="AC225" s="59" t="n"/>
      <c r="AD225" s="59" t="n"/>
      <c r="AE225" s="60" t="str">
        <f>IF(AND(C225&lt;&gt;"",B225='Client Sign-Off'!$D$7),COUNTIFS($B$6:B225,'Client Sign-Off'!$D$7,$C$6:C225,"?*"),"")</f>
        <v/>
      </c>
    </row>
    <row r="226" ht="18" customHeight="1">
      <c r="A226" s="54" t="str">
        <f>IF(C226="","",ROW()-5)</f>
        <v/>
      </c>
      <c r="B226" s="40" t="n"/>
      <c r="C226" s="40" t="n"/>
      <c r="D226" s="40" t="n"/>
      <c r="E226" s="40" t="n"/>
      <c r="F226" s="40" t="n"/>
      <c r="G226" s="55" t="str">
        <f>IF(F226="","",IFERROR(IF(INDEX(Project!$C$24:$C$27,MATCH(F226,Project!$B$24:$B$27,0))="","",INDEX(Project!$C$24:$C$27,MATCH(F226,Project!$B$24:$B$27,0))),""))</f>
        <v/>
      </c>
      <c r="H226" s="40" t="n"/>
      <c r="I226" s="40" t="n"/>
      <c r="J226" s="40" t="n"/>
      <c r="K226" s="40" t="n"/>
      <c r="L226" s="56" t="n"/>
      <c r="M226" s="40" t="n"/>
      <c r="N226" s="57" t="n"/>
      <c r="O226" s="35" t="str">
        <f>IF(OR(L226="",N226=""),"",L226*N226)</f>
        <v/>
      </c>
      <c r="P226" s="43" t="n"/>
      <c r="Q226" s="36" t="str">
        <f>IF(OR(O226="",P226=""),"",O226-P226)</f>
        <v/>
      </c>
      <c r="R226" s="40" t="n"/>
      <c r="S226" s="40" t="n"/>
      <c r="T226" s="58" t="n"/>
      <c r="U226" s="42" t="n"/>
      <c r="V226" s="55" t="str">
        <f>IF(OR(U226="",T226=""),"",U226-T226)</f>
        <v/>
      </c>
      <c r="W226" s="40" t="n"/>
      <c r="X226" s="42" t="n"/>
      <c r="Y226" s="40" t="n"/>
      <c r="Z226" s="32" t="str">
        <f>IF(C226="","",IF(OR(W226="Ordered",W226="Received",W226="Installed"),"Ordered",IF(AND(I226&lt;&gt;"",J226&lt;&gt;"",L226&lt;&gt;"",R226&lt;&gt;"",T226&lt;&gt;"",X226&lt;&gt;""),"READY","Missing: "&amp;_xlfn.TEXTJOIN(", ",TRUE,IF(I226="","model",""),IF(J226="","finish",""),IF(L226="","qty",""),IF(R226="","supplier",""),IF(T226="","lead time",""),IF(X226="","approval","")))))</f>
        <v/>
      </c>
      <c r="AA226" s="54" t="str">
        <f>IF(C226="","",IF(OR(W226="Ordered",W226="Received",W226="Installed"),"",IF(AND(G226&lt;&gt;"",X226="",G226&lt;TODAY()),"DECISION OVERDUE",IF(V226="","",IF(V226&lt;TODAY(),"ORDER OVERDUE",IF(V226-TODAY()&lt;=14,"ORDER SOON",""))))))</f>
        <v/>
      </c>
      <c r="AB226" s="35" t="str">
        <f>IF(Q226="","",IF(AND(X226="",Q226&gt;0),Q226,""))</f>
        <v/>
      </c>
      <c r="AC226" s="59" t="n"/>
      <c r="AD226" s="59" t="n"/>
      <c r="AE226" s="60" t="str">
        <f>IF(AND(C226&lt;&gt;"",B226='Client Sign-Off'!$D$7),COUNTIFS($B$6:B226,'Client Sign-Off'!$D$7,$C$6:C226,"?*"),"")</f>
        <v/>
      </c>
    </row>
    <row r="227" ht="18" customHeight="1">
      <c r="A227" s="54" t="str">
        <f>IF(C227="","",ROW()-5)</f>
        <v/>
      </c>
      <c r="B227" s="40" t="n"/>
      <c r="C227" s="40" t="n"/>
      <c r="D227" s="40" t="n"/>
      <c r="E227" s="40" t="n"/>
      <c r="F227" s="40" t="n"/>
      <c r="G227" s="55" t="str">
        <f>IF(F227="","",IFERROR(IF(INDEX(Project!$C$24:$C$27,MATCH(F227,Project!$B$24:$B$27,0))="","",INDEX(Project!$C$24:$C$27,MATCH(F227,Project!$B$24:$B$27,0))),""))</f>
        <v/>
      </c>
      <c r="H227" s="40" t="n"/>
      <c r="I227" s="40" t="n"/>
      <c r="J227" s="40" t="n"/>
      <c r="K227" s="40" t="n"/>
      <c r="L227" s="56" t="n"/>
      <c r="M227" s="40" t="n"/>
      <c r="N227" s="57" t="n"/>
      <c r="O227" s="35" t="str">
        <f>IF(OR(L227="",N227=""),"",L227*N227)</f>
        <v/>
      </c>
      <c r="P227" s="43" t="n"/>
      <c r="Q227" s="36" t="str">
        <f>IF(OR(O227="",P227=""),"",O227-P227)</f>
        <v/>
      </c>
      <c r="R227" s="40" t="n"/>
      <c r="S227" s="40" t="n"/>
      <c r="T227" s="58" t="n"/>
      <c r="U227" s="42" t="n"/>
      <c r="V227" s="55" t="str">
        <f>IF(OR(U227="",T227=""),"",U227-T227)</f>
        <v/>
      </c>
      <c r="W227" s="40" t="n"/>
      <c r="X227" s="42" t="n"/>
      <c r="Y227" s="40" t="n"/>
      <c r="Z227" s="32" t="str">
        <f>IF(C227="","",IF(OR(W227="Ordered",W227="Received",W227="Installed"),"Ordered",IF(AND(I227&lt;&gt;"",J227&lt;&gt;"",L227&lt;&gt;"",R227&lt;&gt;"",T227&lt;&gt;"",X227&lt;&gt;""),"READY","Missing: "&amp;_xlfn.TEXTJOIN(", ",TRUE,IF(I227="","model",""),IF(J227="","finish",""),IF(L227="","qty",""),IF(R227="","supplier",""),IF(T227="","lead time",""),IF(X227="","approval","")))))</f>
        <v/>
      </c>
      <c r="AA227" s="54" t="str">
        <f>IF(C227="","",IF(OR(W227="Ordered",W227="Received",W227="Installed"),"",IF(AND(G227&lt;&gt;"",X227="",G227&lt;TODAY()),"DECISION OVERDUE",IF(V227="","",IF(V227&lt;TODAY(),"ORDER OVERDUE",IF(V227-TODAY()&lt;=14,"ORDER SOON",""))))))</f>
        <v/>
      </c>
      <c r="AB227" s="35" t="str">
        <f>IF(Q227="","",IF(AND(X227="",Q227&gt;0),Q227,""))</f>
        <v/>
      </c>
      <c r="AC227" s="59" t="n"/>
      <c r="AD227" s="59" t="n"/>
      <c r="AE227" s="60" t="str">
        <f>IF(AND(C227&lt;&gt;"",B227='Client Sign-Off'!$D$7),COUNTIFS($B$6:B227,'Client Sign-Off'!$D$7,$C$6:C227,"?*"),"")</f>
        <v/>
      </c>
    </row>
    <row r="228" ht="18" customHeight="1">
      <c r="A228" s="54" t="str">
        <f>IF(C228="","",ROW()-5)</f>
        <v/>
      </c>
      <c r="B228" s="40" t="n"/>
      <c r="C228" s="40" t="n"/>
      <c r="D228" s="40" t="n"/>
      <c r="E228" s="40" t="n"/>
      <c r="F228" s="40" t="n"/>
      <c r="G228" s="55" t="str">
        <f>IF(F228="","",IFERROR(IF(INDEX(Project!$C$24:$C$27,MATCH(F228,Project!$B$24:$B$27,0))="","",INDEX(Project!$C$24:$C$27,MATCH(F228,Project!$B$24:$B$27,0))),""))</f>
        <v/>
      </c>
      <c r="H228" s="40" t="n"/>
      <c r="I228" s="40" t="n"/>
      <c r="J228" s="40" t="n"/>
      <c r="K228" s="40" t="n"/>
      <c r="L228" s="56" t="n"/>
      <c r="M228" s="40" t="n"/>
      <c r="N228" s="57" t="n"/>
      <c r="O228" s="35" t="str">
        <f>IF(OR(L228="",N228=""),"",L228*N228)</f>
        <v/>
      </c>
      <c r="P228" s="43" t="n"/>
      <c r="Q228" s="36" t="str">
        <f>IF(OR(O228="",P228=""),"",O228-P228)</f>
        <v/>
      </c>
      <c r="R228" s="40" t="n"/>
      <c r="S228" s="40" t="n"/>
      <c r="T228" s="58" t="n"/>
      <c r="U228" s="42" t="n"/>
      <c r="V228" s="55" t="str">
        <f>IF(OR(U228="",T228=""),"",U228-T228)</f>
        <v/>
      </c>
      <c r="W228" s="40" t="n"/>
      <c r="X228" s="42" t="n"/>
      <c r="Y228" s="40" t="n"/>
      <c r="Z228" s="32" t="str">
        <f>IF(C228="","",IF(OR(W228="Ordered",W228="Received",W228="Installed"),"Ordered",IF(AND(I228&lt;&gt;"",J228&lt;&gt;"",L228&lt;&gt;"",R228&lt;&gt;"",T228&lt;&gt;"",X228&lt;&gt;""),"READY","Missing: "&amp;_xlfn.TEXTJOIN(", ",TRUE,IF(I228="","model",""),IF(J228="","finish",""),IF(L228="","qty",""),IF(R228="","supplier",""),IF(T228="","lead time",""),IF(X228="","approval","")))))</f>
        <v/>
      </c>
      <c r="AA228" s="54" t="str">
        <f>IF(C228="","",IF(OR(W228="Ordered",W228="Received",W228="Installed"),"",IF(AND(G228&lt;&gt;"",X228="",G228&lt;TODAY()),"DECISION OVERDUE",IF(V228="","",IF(V228&lt;TODAY(),"ORDER OVERDUE",IF(V228-TODAY()&lt;=14,"ORDER SOON",""))))))</f>
        <v/>
      </c>
      <c r="AB228" s="35" t="str">
        <f>IF(Q228="","",IF(AND(X228="",Q228&gt;0),Q228,""))</f>
        <v/>
      </c>
      <c r="AC228" s="59" t="n"/>
      <c r="AD228" s="59" t="n"/>
      <c r="AE228" s="60" t="str">
        <f>IF(AND(C228&lt;&gt;"",B228='Client Sign-Off'!$D$7),COUNTIFS($B$6:B228,'Client Sign-Off'!$D$7,$C$6:C228,"?*"),"")</f>
        <v/>
      </c>
    </row>
    <row r="229" ht="18" customHeight="1">
      <c r="A229" s="54" t="str">
        <f>IF(C229="","",ROW()-5)</f>
        <v/>
      </c>
      <c r="B229" s="40" t="n"/>
      <c r="C229" s="40" t="n"/>
      <c r="D229" s="40" t="n"/>
      <c r="E229" s="40" t="n"/>
      <c r="F229" s="40" t="n"/>
      <c r="G229" s="55" t="str">
        <f>IF(F229="","",IFERROR(IF(INDEX(Project!$C$24:$C$27,MATCH(F229,Project!$B$24:$B$27,0))="","",INDEX(Project!$C$24:$C$27,MATCH(F229,Project!$B$24:$B$27,0))),""))</f>
        <v/>
      </c>
      <c r="H229" s="40" t="n"/>
      <c r="I229" s="40" t="n"/>
      <c r="J229" s="40" t="n"/>
      <c r="K229" s="40" t="n"/>
      <c r="L229" s="56" t="n"/>
      <c r="M229" s="40" t="n"/>
      <c r="N229" s="57" t="n"/>
      <c r="O229" s="35" t="str">
        <f>IF(OR(L229="",N229=""),"",L229*N229)</f>
        <v/>
      </c>
      <c r="P229" s="43" t="n"/>
      <c r="Q229" s="36" t="str">
        <f>IF(OR(O229="",P229=""),"",O229-P229)</f>
        <v/>
      </c>
      <c r="R229" s="40" t="n"/>
      <c r="S229" s="40" t="n"/>
      <c r="T229" s="58" t="n"/>
      <c r="U229" s="42" t="n"/>
      <c r="V229" s="55" t="str">
        <f>IF(OR(U229="",T229=""),"",U229-T229)</f>
        <v/>
      </c>
      <c r="W229" s="40" t="n"/>
      <c r="X229" s="42" t="n"/>
      <c r="Y229" s="40" t="n"/>
      <c r="Z229" s="32" t="str">
        <f>IF(C229="","",IF(OR(W229="Ordered",W229="Received",W229="Installed"),"Ordered",IF(AND(I229&lt;&gt;"",J229&lt;&gt;"",L229&lt;&gt;"",R229&lt;&gt;"",T229&lt;&gt;"",X229&lt;&gt;""),"READY","Missing: "&amp;_xlfn.TEXTJOIN(", ",TRUE,IF(I229="","model",""),IF(J229="","finish",""),IF(L229="","qty",""),IF(R229="","supplier",""),IF(T229="","lead time",""),IF(X229="","approval","")))))</f>
        <v/>
      </c>
      <c r="AA229" s="54" t="str">
        <f>IF(C229="","",IF(OR(W229="Ordered",W229="Received",W229="Installed"),"",IF(AND(G229&lt;&gt;"",X229="",G229&lt;TODAY()),"DECISION OVERDUE",IF(V229="","",IF(V229&lt;TODAY(),"ORDER OVERDUE",IF(V229-TODAY()&lt;=14,"ORDER SOON",""))))))</f>
        <v/>
      </c>
      <c r="AB229" s="35" t="str">
        <f>IF(Q229="","",IF(AND(X229="",Q229&gt;0),Q229,""))</f>
        <v/>
      </c>
      <c r="AC229" s="59" t="n"/>
      <c r="AD229" s="59" t="n"/>
      <c r="AE229" s="60" t="str">
        <f>IF(AND(C229&lt;&gt;"",B229='Client Sign-Off'!$D$7),COUNTIFS($B$6:B229,'Client Sign-Off'!$D$7,$C$6:C229,"?*"),"")</f>
        <v/>
      </c>
    </row>
    <row r="230" ht="18" customHeight="1">
      <c r="A230" s="54" t="str">
        <f>IF(C230="","",ROW()-5)</f>
        <v/>
      </c>
      <c r="B230" s="40" t="n"/>
      <c r="C230" s="40" t="n"/>
      <c r="D230" s="40" t="n"/>
      <c r="E230" s="40" t="n"/>
      <c r="F230" s="40" t="n"/>
      <c r="G230" s="55" t="str">
        <f>IF(F230="","",IFERROR(IF(INDEX(Project!$C$24:$C$27,MATCH(F230,Project!$B$24:$B$27,0))="","",INDEX(Project!$C$24:$C$27,MATCH(F230,Project!$B$24:$B$27,0))),""))</f>
        <v/>
      </c>
      <c r="H230" s="40" t="n"/>
      <c r="I230" s="40" t="n"/>
      <c r="J230" s="40" t="n"/>
      <c r="K230" s="40" t="n"/>
      <c r="L230" s="56" t="n"/>
      <c r="M230" s="40" t="n"/>
      <c r="N230" s="57" t="n"/>
      <c r="O230" s="35" t="str">
        <f>IF(OR(L230="",N230=""),"",L230*N230)</f>
        <v/>
      </c>
      <c r="P230" s="43" t="n"/>
      <c r="Q230" s="36" t="str">
        <f>IF(OR(O230="",P230=""),"",O230-P230)</f>
        <v/>
      </c>
      <c r="R230" s="40" t="n"/>
      <c r="S230" s="40" t="n"/>
      <c r="T230" s="58" t="n"/>
      <c r="U230" s="42" t="n"/>
      <c r="V230" s="55" t="str">
        <f>IF(OR(U230="",T230=""),"",U230-T230)</f>
        <v/>
      </c>
      <c r="W230" s="40" t="n"/>
      <c r="X230" s="42" t="n"/>
      <c r="Y230" s="40" t="n"/>
      <c r="Z230" s="32" t="str">
        <f>IF(C230="","",IF(OR(W230="Ordered",W230="Received",W230="Installed"),"Ordered",IF(AND(I230&lt;&gt;"",J230&lt;&gt;"",L230&lt;&gt;"",R230&lt;&gt;"",T230&lt;&gt;"",X230&lt;&gt;""),"READY","Missing: "&amp;_xlfn.TEXTJOIN(", ",TRUE,IF(I230="","model",""),IF(J230="","finish",""),IF(L230="","qty",""),IF(R230="","supplier",""),IF(T230="","lead time",""),IF(X230="","approval","")))))</f>
        <v/>
      </c>
      <c r="AA230" s="54" t="str">
        <f>IF(C230="","",IF(OR(W230="Ordered",W230="Received",W230="Installed"),"",IF(AND(G230&lt;&gt;"",X230="",G230&lt;TODAY()),"DECISION OVERDUE",IF(V230="","",IF(V230&lt;TODAY(),"ORDER OVERDUE",IF(V230-TODAY()&lt;=14,"ORDER SOON",""))))))</f>
        <v/>
      </c>
      <c r="AB230" s="35" t="str">
        <f>IF(Q230="","",IF(AND(X230="",Q230&gt;0),Q230,""))</f>
        <v/>
      </c>
      <c r="AC230" s="59" t="n"/>
      <c r="AD230" s="59" t="n"/>
      <c r="AE230" s="60" t="str">
        <f>IF(AND(C230&lt;&gt;"",B230='Client Sign-Off'!$D$7),COUNTIFS($B$6:B230,'Client Sign-Off'!$D$7,$C$6:C230,"?*"),"")</f>
        <v/>
      </c>
    </row>
    <row r="231" ht="18" customHeight="1">
      <c r="A231" s="54" t="str">
        <f>IF(C231="","",ROW()-5)</f>
        <v/>
      </c>
      <c r="B231" s="40" t="n"/>
      <c r="C231" s="40" t="n"/>
      <c r="D231" s="40" t="n"/>
      <c r="E231" s="40" t="n"/>
      <c r="F231" s="40" t="n"/>
      <c r="G231" s="55" t="str">
        <f>IF(F231="","",IFERROR(IF(INDEX(Project!$C$24:$C$27,MATCH(F231,Project!$B$24:$B$27,0))="","",INDEX(Project!$C$24:$C$27,MATCH(F231,Project!$B$24:$B$27,0))),""))</f>
        <v/>
      </c>
      <c r="H231" s="40" t="n"/>
      <c r="I231" s="40" t="n"/>
      <c r="J231" s="40" t="n"/>
      <c r="K231" s="40" t="n"/>
      <c r="L231" s="56" t="n"/>
      <c r="M231" s="40" t="n"/>
      <c r="N231" s="57" t="n"/>
      <c r="O231" s="35" t="str">
        <f>IF(OR(L231="",N231=""),"",L231*N231)</f>
        <v/>
      </c>
      <c r="P231" s="43" t="n"/>
      <c r="Q231" s="36" t="str">
        <f>IF(OR(O231="",P231=""),"",O231-P231)</f>
        <v/>
      </c>
      <c r="R231" s="40" t="n"/>
      <c r="S231" s="40" t="n"/>
      <c r="T231" s="58" t="n"/>
      <c r="U231" s="42" t="n"/>
      <c r="V231" s="55" t="str">
        <f>IF(OR(U231="",T231=""),"",U231-T231)</f>
        <v/>
      </c>
      <c r="W231" s="40" t="n"/>
      <c r="X231" s="42" t="n"/>
      <c r="Y231" s="40" t="n"/>
      <c r="Z231" s="32" t="str">
        <f>IF(C231="","",IF(OR(W231="Ordered",W231="Received",W231="Installed"),"Ordered",IF(AND(I231&lt;&gt;"",J231&lt;&gt;"",L231&lt;&gt;"",R231&lt;&gt;"",T231&lt;&gt;"",X231&lt;&gt;""),"READY","Missing: "&amp;_xlfn.TEXTJOIN(", ",TRUE,IF(I231="","model",""),IF(J231="","finish",""),IF(L231="","qty",""),IF(R231="","supplier",""),IF(T231="","lead time",""),IF(X231="","approval","")))))</f>
        <v/>
      </c>
      <c r="AA231" s="54" t="str">
        <f>IF(C231="","",IF(OR(W231="Ordered",W231="Received",W231="Installed"),"",IF(AND(G231&lt;&gt;"",X231="",G231&lt;TODAY()),"DECISION OVERDUE",IF(V231="","",IF(V231&lt;TODAY(),"ORDER OVERDUE",IF(V231-TODAY()&lt;=14,"ORDER SOON",""))))))</f>
        <v/>
      </c>
      <c r="AB231" s="35" t="str">
        <f>IF(Q231="","",IF(AND(X231="",Q231&gt;0),Q231,""))</f>
        <v/>
      </c>
      <c r="AC231" s="59" t="n"/>
      <c r="AD231" s="59" t="n"/>
      <c r="AE231" s="60" t="str">
        <f>IF(AND(C231&lt;&gt;"",B231='Client Sign-Off'!$D$7),COUNTIFS($B$6:B231,'Client Sign-Off'!$D$7,$C$6:C231,"?*"),"")</f>
        <v/>
      </c>
    </row>
    <row r="232" ht="18" customHeight="1">
      <c r="A232" s="54" t="str">
        <f>IF(C232="","",ROW()-5)</f>
        <v/>
      </c>
      <c r="B232" s="40" t="n"/>
      <c r="C232" s="40" t="n"/>
      <c r="D232" s="40" t="n"/>
      <c r="E232" s="40" t="n"/>
      <c r="F232" s="40" t="n"/>
      <c r="G232" s="55" t="str">
        <f>IF(F232="","",IFERROR(IF(INDEX(Project!$C$24:$C$27,MATCH(F232,Project!$B$24:$B$27,0))="","",INDEX(Project!$C$24:$C$27,MATCH(F232,Project!$B$24:$B$27,0))),""))</f>
        <v/>
      </c>
      <c r="H232" s="40" t="n"/>
      <c r="I232" s="40" t="n"/>
      <c r="J232" s="40" t="n"/>
      <c r="K232" s="40" t="n"/>
      <c r="L232" s="56" t="n"/>
      <c r="M232" s="40" t="n"/>
      <c r="N232" s="57" t="n"/>
      <c r="O232" s="35" t="str">
        <f>IF(OR(L232="",N232=""),"",L232*N232)</f>
        <v/>
      </c>
      <c r="P232" s="43" t="n"/>
      <c r="Q232" s="36" t="str">
        <f>IF(OR(O232="",P232=""),"",O232-P232)</f>
        <v/>
      </c>
      <c r="R232" s="40" t="n"/>
      <c r="S232" s="40" t="n"/>
      <c r="T232" s="58" t="n"/>
      <c r="U232" s="42" t="n"/>
      <c r="V232" s="55" t="str">
        <f>IF(OR(U232="",T232=""),"",U232-T232)</f>
        <v/>
      </c>
      <c r="W232" s="40" t="n"/>
      <c r="X232" s="42" t="n"/>
      <c r="Y232" s="40" t="n"/>
      <c r="Z232" s="32" t="str">
        <f>IF(C232="","",IF(OR(W232="Ordered",W232="Received",W232="Installed"),"Ordered",IF(AND(I232&lt;&gt;"",J232&lt;&gt;"",L232&lt;&gt;"",R232&lt;&gt;"",T232&lt;&gt;"",X232&lt;&gt;""),"READY","Missing: "&amp;_xlfn.TEXTJOIN(", ",TRUE,IF(I232="","model",""),IF(J232="","finish",""),IF(L232="","qty",""),IF(R232="","supplier",""),IF(T232="","lead time",""),IF(X232="","approval","")))))</f>
        <v/>
      </c>
      <c r="AA232" s="54" t="str">
        <f>IF(C232="","",IF(OR(W232="Ordered",W232="Received",W232="Installed"),"",IF(AND(G232&lt;&gt;"",X232="",G232&lt;TODAY()),"DECISION OVERDUE",IF(V232="","",IF(V232&lt;TODAY(),"ORDER OVERDUE",IF(V232-TODAY()&lt;=14,"ORDER SOON",""))))))</f>
        <v/>
      </c>
      <c r="AB232" s="35" t="str">
        <f>IF(Q232="","",IF(AND(X232="",Q232&gt;0),Q232,""))</f>
        <v/>
      </c>
      <c r="AC232" s="59" t="n"/>
      <c r="AD232" s="59" t="n"/>
      <c r="AE232" s="60" t="str">
        <f>IF(AND(C232&lt;&gt;"",B232='Client Sign-Off'!$D$7),COUNTIFS($B$6:B232,'Client Sign-Off'!$D$7,$C$6:C232,"?*"),"")</f>
        <v/>
      </c>
    </row>
    <row r="233" ht="18" customHeight="1">
      <c r="A233" s="54" t="str">
        <f>IF(C233="","",ROW()-5)</f>
        <v/>
      </c>
      <c r="B233" s="40" t="n"/>
      <c r="C233" s="40" t="n"/>
      <c r="D233" s="40" t="n"/>
      <c r="E233" s="40" t="n"/>
      <c r="F233" s="40" t="n"/>
      <c r="G233" s="55" t="str">
        <f>IF(F233="","",IFERROR(IF(INDEX(Project!$C$24:$C$27,MATCH(F233,Project!$B$24:$B$27,0))="","",INDEX(Project!$C$24:$C$27,MATCH(F233,Project!$B$24:$B$27,0))),""))</f>
        <v/>
      </c>
      <c r="H233" s="40" t="n"/>
      <c r="I233" s="40" t="n"/>
      <c r="J233" s="40" t="n"/>
      <c r="K233" s="40" t="n"/>
      <c r="L233" s="56" t="n"/>
      <c r="M233" s="40" t="n"/>
      <c r="N233" s="57" t="n"/>
      <c r="O233" s="35" t="str">
        <f>IF(OR(L233="",N233=""),"",L233*N233)</f>
        <v/>
      </c>
      <c r="P233" s="43" t="n"/>
      <c r="Q233" s="36" t="str">
        <f>IF(OR(O233="",P233=""),"",O233-P233)</f>
        <v/>
      </c>
      <c r="R233" s="40" t="n"/>
      <c r="S233" s="40" t="n"/>
      <c r="T233" s="58" t="n"/>
      <c r="U233" s="42" t="n"/>
      <c r="V233" s="55" t="str">
        <f>IF(OR(U233="",T233=""),"",U233-T233)</f>
        <v/>
      </c>
      <c r="W233" s="40" t="n"/>
      <c r="X233" s="42" t="n"/>
      <c r="Y233" s="40" t="n"/>
      <c r="Z233" s="32" t="str">
        <f>IF(C233="","",IF(OR(W233="Ordered",W233="Received",W233="Installed"),"Ordered",IF(AND(I233&lt;&gt;"",J233&lt;&gt;"",L233&lt;&gt;"",R233&lt;&gt;"",T233&lt;&gt;"",X233&lt;&gt;""),"READY","Missing: "&amp;_xlfn.TEXTJOIN(", ",TRUE,IF(I233="","model",""),IF(J233="","finish",""),IF(L233="","qty",""),IF(R233="","supplier",""),IF(T233="","lead time",""),IF(X233="","approval","")))))</f>
        <v/>
      </c>
      <c r="AA233" s="54" t="str">
        <f>IF(C233="","",IF(OR(W233="Ordered",W233="Received",W233="Installed"),"",IF(AND(G233&lt;&gt;"",X233="",G233&lt;TODAY()),"DECISION OVERDUE",IF(V233="","",IF(V233&lt;TODAY(),"ORDER OVERDUE",IF(V233-TODAY()&lt;=14,"ORDER SOON",""))))))</f>
        <v/>
      </c>
      <c r="AB233" s="35" t="str">
        <f>IF(Q233="","",IF(AND(X233="",Q233&gt;0),Q233,""))</f>
        <v/>
      </c>
      <c r="AC233" s="59" t="n"/>
      <c r="AD233" s="59" t="n"/>
      <c r="AE233" s="60" t="str">
        <f>IF(AND(C233&lt;&gt;"",B233='Client Sign-Off'!$D$7),COUNTIFS($B$6:B233,'Client Sign-Off'!$D$7,$C$6:C233,"?*"),"")</f>
        <v/>
      </c>
    </row>
    <row r="234" ht="18" customHeight="1">
      <c r="A234" s="54" t="str">
        <f>IF(C234="","",ROW()-5)</f>
        <v/>
      </c>
      <c r="B234" s="40" t="n"/>
      <c r="C234" s="40" t="n"/>
      <c r="D234" s="40" t="n"/>
      <c r="E234" s="40" t="n"/>
      <c r="F234" s="40" t="n"/>
      <c r="G234" s="55" t="str">
        <f>IF(F234="","",IFERROR(IF(INDEX(Project!$C$24:$C$27,MATCH(F234,Project!$B$24:$B$27,0))="","",INDEX(Project!$C$24:$C$27,MATCH(F234,Project!$B$24:$B$27,0))),""))</f>
        <v/>
      </c>
      <c r="H234" s="40" t="n"/>
      <c r="I234" s="40" t="n"/>
      <c r="J234" s="40" t="n"/>
      <c r="K234" s="40" t="n"/>
      <c r="L234" s="56" t="n"/>
      <c r="M234" s="40" t="n"/>
      <c r="N234" s="57" t="n"/>
      <c r="O234" s="35" t="str">
        <f>IF(OR(L234="",N234=""),"",L234*N234)</f>
        <v/>
      </c>
      <c r="P234" s="43" t="n"/>
      <c r="Q234" s="36" t="str">
        <f>IF(OR(O234="",P234=""),"",O234-P234)</f>
        <v/>
      </c>
      <c r="R234" s="40" t="n"/>
      <c r="S234" s="40" t="n"/>
      <c r="T234" s="58" t="n"/>
      <c r="U234" s="42" t="n"/>
      <c r="V234" s="55" t="str">
        <f>IF(OR(U234="",T234=""),"",U234-T234)</f>
        <v/>
      </c>
      <c r="W234" s="40" t="n"/>
      <c r="X234" s="42" t="n"/>
      <c r="Y234" s="40" t="n"/>
      <c r="Z234" s="32" t="str">
        <f>IF(C234="","",IF(OR(W234="Ordered",W234="Received",W234="Installed"),"Ordered",IF(AND(I234&lt;&gt;"",J234&lt;&gt;"",L234&lt;&gt;"",R234&lt;&gt;"",T234&lt;&gt;"",X234&lt;&gt;""),"READY","Missing: "&amp;_xlfn.TEXTJOIN(", ",TRUE,IF(I234="","model",""),IF(J234="","finish",""),IF(L234="","qty",""),IF(R234="","supplier",""),IF(T234="","lead time",""),IF(X234="","approval","")))))</f>
        <v/>
      </c>
      <c r="AA234" s="54" t="str">
        <f>IF(C234="","",IF(OR(W234="Ordered",W234="Received",W234="Installed"),"",IF(AND(G234&lt;&gt;"",X234="",G234&lt;TODAY()),"DECISION OVERDUE",IF(V234="","",IF(V234&lt;TODAY(),"ORDER OVERDUE",IF(V234-TODAY()&lt;=14,"ORDER SOON",""))))))</f>
        <v/>
      </c>
      <c r="AB234" s="35" t="str">
        <f>IF(Q234="","",IF(AND(X234="",Q234&gt;0),Q234,""))</f>
        <v/>
      </c>
      <c r="AC234" s="59" t="n"/>
      <c r="AD234" s="59" t="n"/>
      <c r="AE234" s="60" t="str">
        <f>IF(AND(C234&lt;&gt;"",B234='Client Sign-Off'!$D$7),COUNTIFS($B$6:B234,'Client Sign-Off'!$D$7,$C$6:C234,"?*"),"")</f>
        <v/>
      </c>
    </row>
    <row r="235" ht="18" customHeight="1">
      <c r="A235" s="54" t="str">
        <f>IF(C235="","",ROW()-5)</f>
        <v/>
      </c>
      <c r="B235" s="40" t="n"/>
      <c r="C235" s="40" t="n"/>
      <c r="D235" s="40" t="n"/>
      <c r="E235" s="40" t="n"/>
      <c r="F235" s="40" t="n"/>
      <c r="G235" s="55" t="str">
        <f>IF(F235="","",IFERROR(IF(INDEX(Project!$C$24:$C$27,MATCH(F235,Project!$B$24:$B$27,0))="","",INDEX(Project!$C$24:$C$27,MATCH(F235,Project!$B$24:$B$27,0))),""))</f>
        <v/>
      </c>
      <c r="H235" s="40" t="n"/>
      <c r="I235" s="40" t="n"/>
      <c r="J235" s="40" t="n"/>
      <c r="K235" s="40" t="n"/>
      <c r="L235" s="56" t="n"/>
      <c r="M235" s="40" t="n"/>
      <c r="N235" s="57" t="n"/>
      <c r="O235" s="35" t="str">
        <f>IF(OR(L235="",N235=""),"",L235*N235)</f>
        <v/>
      </c>
      <c r="P235" s="43" t="n"/>
      <c r="Q235" s="36" t="str">
        <f>IF(OR(O235="",P235=""),"",O235-P235)</f>
        <v/>
      </c>
      <c r="R235" s="40" t="n"/>
      <c r="S235" s="40" t="n"/>
      <c r="T235" s="58" t="n"/>
      <c r="U235" s="42" t="n"/>
      <c r="V235" s="55" t="str">
        <f>IF(OR(U235="",T235=""),"",U235-T235)</f>
        <v/>
      </c>
      <c r="W235" s="40" t="n"/>
      <c r="X235" s="42" t="n"/>
      <c r="Y235" s="40" t="n"/>
      <c r="Z235" s="32" t="str">
        <f>IF(C235="","",IF(OR(W235="Ordered",W235="Received",W235="Installed"),"Ordered",IF(AND(I235&lt;&gt;"",J235&lt;&gt;"",L235&lt;&gt;"",R235&lt;&gt;"",T235&lt;&gt;"",X235&lt;&gt;""),"READY","Missing: "&amp;_xlfn.TEXTJOIN(", ",TRUE,IF(I235="","model",""),IF(J235="","finish",""),IF(L235="","qty",""),IF(R235="","supplier",""),IF(T235="","lead time",""),IF(X235="","approval","")))))</f>
        <v/>
      </c>
      <c r="AA235" s="54" t="str">
        <f>IF(C235="","",IF(OR(W235="Ordered",W235="Received",W235="Installed"),"",IF(AND(G235&lt;&gt;"",X235="",G235&lt;TODAY()),"DECISION OVERDUE",IF(V235="","",IF(V235&lt;TODAY(),"ORDER OVERDUE",IF(V235-TODAY()&lt;=14,"ORDER SOON",""))))))</f>
        <v/>
      </c>
      <c r="AB235" s="35" t="str">
        <f>IF(Q235="","",IF(AND(X235="",Q235&gt;0),Q235,""))</f>
        <v/>
      </c>
      <c r="AC235" s="59" t="n"/>
      <c r="AD235" s="59" t="n"/>
      <c r="AE235" s="60" t="str">
        <f>IF(AND(C235&lt;&gt;"",B235='Client Sign-Off'!$D$7),COUNTIFS($B$6:B235,'Client Sign-Off'!$D$7,$C$6:C235,"?*"),"")</f>
        <v/>
      </c>
    </row>
    <row r="236" ht="18" customHeight="1">
      <c r="A236" s="54" t="str">
        <f>IF(C236="","",ROW()-5)</f>
        <v/>
      </c>
      <c r="B236" s="40" t="n"/>
      <c r="C236" s="40" t="n"/>
      <c r="D236" s="40" t="n"/>
      <c r="E236" s="40" t="n"/>
      <c r="F236" s="40" t="n"/>
      <c r="G236" s="55" t="str">
        <f>IF(F236="","",IFERROR(IF(INDEX(Project!$C$24:$C$27,MATCH(F236,Project!$B$24:$B$27,0))="","",INDEX(Project!$C$24:$C$27,MATCH(F236,Project!$B$24:$B$27,0))),""))</f>
        <v/>
      </c>
      <c r="H236" s="40" t="n"/>
      <c r="I236" s="40" t="n"/>
      <c r="J236" s="40" t="n"/>
      <c r="K236" s="40" t="n"/>
      <c r="L236" s="56" t="n"/>
      <c r="M236" s="40" t="n"/>
      <c r="N236" s="57" t="n"/>
      <c r="O236" s="35" t="str">
        <f>IF(OR(L236="",N236=""),"",L236*N236)</f>
        <v/>
      </c>
      <c r="P236" s="43" t="n"/>
      <c r="Q236" s="36" t="str">
        <f>IF(OR(O236="",P236=""),"",O236-P236)</f>
        <v/>
      </c>
      <c r="R236" s="40" t="n"/>
      <c r="S236" s="40" t="n"/>
      <c r="T236" s="58" t="n"/>
      <c r="U236" s="42" t="n"/>
      <c r="V236" s="55" t="str">
        <f>IF(OR(U236="",T236=""),"",U236-T236)</f>
        <v/>
      </c>
      <c r="W236" s="40" t="n"/>
      <c r="X236" s="42" t="n"/>
      <c r="Y236" s="40" t="n"/>
      <c r="Z236" s="32" t="str">
        <f>IF(C236="","",IF(OR(W236="Ordered",W236="Received",W236="Installed"),"Ordered",IF(AND(I236&lt;&gt;"",J236&lt;&gt;"",L236&lt;&gt;"",R236&lt;&gt;"",T236&lt;&gt;"",X236&lt;&gt;""),"READY","Missing: "&amp;_xlfn.TEXTJOIN(", ",TRUE,IF(I236="","model",""),IF(J236="","finish",""),IF(L236="","qty",""),IF(R236="","supplier",""),IF(T236="","lead time",""),IF(X236="","approval","")))))</f>
        <v/>
      </c>
      <c r="AA236" s="54" t="str">
        <f>IF(C236="","",IF(OR(W236="Ordered",W236="Received",W236="Installed"),"",IF(AND(G236&lt;&gt;"",X236="",G236&lt;TODAY()),"DECISION OVERDUE",IF(V236="","",IF(V236&lt;TODAY(),"ORDER OVERDUE",IF(V236-TODAY()&lt;=14,"ORDER SOON",""))))))</f>
        <v/>
      </c>
      <c r="AB236" s="35" t="str">
        <f>IF(Q236="","",IF(AND(X236="",Q236&gt;0),Q236,""))</f>
        <v/>
      </c>
      <c r="AC236" s="59" t="n"/>
      <c r="AD236" s="59" t="n"/>
      <c r="AE236" s="60" t="str">
        <f>IF(AND(C236&lt;&gt;"",B236='Client Sign-Off'!$D$7),COUNTIFS($B$6:B236,'Client Sign-Off'!$D$7,$C$6:C236,"?*"),"")</f>
        <v/>
      </c>
    </row>
    <row r="237" ht="18" customHeight="1">
      <c r="A237" s="54" t="str">
        <f>IF(C237="","",ROW()-5)</f>
        <v/>
      </c>
      <c r="B237" s="40" t="n"/>
      <c r="C237" s="40" t="n"/>
      <c r="D237" s="40" t="n"/>
      <c r="E237" s="40" t="n"/>
      <c r="F237" s="40" t="n"/>
      <c r="G237" s="55" t="str">
        <f>IF(F237="","",IFERROR(IF(INDEX(Project!$C$24:$C$27,MATCH(F237,Project!$B$24:$B$27,0))="","",INDEX(Project!$C$24:$C$27,MATCH(F237,Project!$B$24:$B$27,0))),""))</f>
        <v/>
      </c>
      <c r="H237" s="40" t="n"/>
      <c r="I237" s="40" t="n"/>
      <c r="J237" s="40" t="n"/>
      <c r="K237" s="40" t="n"/>
      <c r="L237" s="56" t="n"/>
      <c r="M237" s="40" t="n"/>
      <c r="N237" s="57" t="n"/>
      <c r="O237" s="35" t="str">
        <f>IF(OR(L237="",N237=""),"",L237*N237)</f>
        <v/>
      </c>
      <c r="P237" s="43" t="n"/>
      <c r="Q237" s="36" t="str">
        <f>IF(OR(O237="",P237=""),"",O237-P237)</f>
        <v/>
      </c>
      <c r="R237" s="40" t="n"/>
      <c r="S237" s="40" t="n"/>
      <c r="T237" s="58" t="n"/>
      <c r="U237" s="42" t="n"/>
      <c r="V237" s="55" t="str">
        <f>IF(OR(U237="",T237=""),"",U237-T237)</f>
        <v/>
      </c>
      <c r="W237" s="40" t="n"/>
      <c r="X237" s="42" t="n"/>
      <c r="Y237" s="40" t="n"/>
      <c r="Z237" s="32" t="str">
        <f>IF(C237="","",IF(OR(W237="Ordered",W237="Received",W237="Installed"),"Ordered",IF(AND(I237&lt;&gt;"",J237&lt;&gt;"",L237&lt;&gt;"",R237&lt;&gt;"",T237&lt;&gt;"",X237&lt;&gt;""),"READY","Missing: "&amp;_xlfn.TEXTJOIN(", ",TRUE,IF(I237="","model",""),IF(J237="","finish",""),IF(L237="","qty",""),IF(R237="","supplier",""),IF(T237="","lead time",""),IF(X237="","approval","")))))</f>
        <v/>
      </c>
      <c r="AA237" s="54" t="str">
        <f>IF(C237="","",IF(OR(W237="Ordered",W237="Received",W237="Installed"),"",IF(AND(G237&lt;&gt;"",X237="",G237&lt;TODAY()),"DECISION OVERDUE",IF(V237="","",IF(V237&lt;TODAY(),"ORDER OVERDUE",IF(V237-TODAY()&lt;=14,"ORDER SOON",""))))))</f>
        <v/>
      </c>
      <c r="AB237" s="35" t="str">
        <f>IF(Q237="","",IF(AND(X237="",Q237&gt;0),Q237,""))</f>
        <v/>
      </c>
      <c r="AC237" s="59" t="n"/>
      <c r="AD237" s="59" t="n"/>
      <c r="AE237" s="60" t="str">
        <f>IF(AND(C237&lt;&gt;"",B237='Client Sign-Off'!$D$7),COUNTIFS($B$6:B237,'Client Sign-Off'!$D$7,$C$6:C237,"?*"),"")</f>
        <v/>
      </c>
    </row>
    <row r="238" ht="18" customHeight="1">
      <c r="A238" s="54" t="str">
        <f>IF(C238="","",ROW()-5)</f>
        <v/>
      </c>
      <c r="B238" s="40" t="n"/>
      <c r="C238" s="40" t="n"/>
      <c r="D238" s="40" t="n"/>
      <c r="E238" s="40" t="n"/>
      <c r="F238" s="40" t="n"/>
      <c r="G238" s="55" t="str">
        <f>IF(F238="","",IFERROR(IF(INDEX(Project!$C$24:$C$27,MATCH(F238,Project!$B$24:$B$27,0))="","",INDEX(Project!$C$24:$C$27,MATCH(F238,Project!$B$24:$B$27,0))),""))</f>
        <v/>
      </c>
      <c r="H238" s="40" t="n"/>
      <c r="I238" s="40" t="n"/>
      <c r="J238" s="40" t="n"/>
      <c r="K238" s="40" t="n"/>
      <c r="L238" s="56" t="n"/>
      <c r="M238" s="40" t="n"/>
      <c r="N238" s="57" t="n"/>
      <c r="O238" s="35" t="str">
        <f>IF(OR(L238="",N238=""),"",L238*N238)</f>
        <v/>
      </c>
      <c r="P238" s="43" t="n"/>
      <c r="Q238" s="36" t="str">
        <f>IF(OR(O238="",P238=""),"",O238-P238)</f>
        <v/>
      </c>
      <c r="R238" s="40" t="n"/>
      <c r="S238" s="40" t="n"/>
      <c r="T238" s="58" t="n"/>
      <c r="U238" s="42" t="n"/>
      <c r="V238" s="55" t="str">
        <f>IF(OR(U238="",T238=""),"",U238-T238)</f>
        <v/>
      </c>
      <c r="W238" s="40" t="n"/>
      <c r="X238" s="42" t="n"/>
      <c r="Y238" s="40" t="n"/>
      <c r="Z238" s="32" t="str">
        <f>IF(C238="","",IF(OR(W238="Ordered",W238="Received",W238="Installed"),"Ordered",IF(AND(I238&lt;&gt;"",J238&lt;&gt;"",L238&lt;&gt;"",R238&lt;&gt;"",T238&lt;&gt;"",X238&lt;&gt;""),"READY","Missing: "&amp;_xlfn.TEXTJOIN(", ",TRUE,IF(I238="","model",""),IF(J238="","finish",""),IF(L238="","qty",""),IF(R238="","supplier",""),IF(T238="","lead time",""),IF(X238="","approval","")))))</f>
        <v/>
      </c>
      <c r="AA238" s="54" t="str">
        <f>IF(C238="","",IF(OR(W238="Ordered",W238="Received",W238="Installed"),"",IF(AND(G238&lt;&gt;"",X238="",G238&lt;TODAY()),"DECISION OVERDUE",IF(V238="","",IF(V238&lt;TODAY(),"ORDER OVERDUE",IF(V238-TODAY()&lt;=14,"ORDER SOON",""))))))</f>
        <v/>
      </c>
      <c r="AB238" s="35" t="str">
        <f>IF(Q238="","",IF(AND(X238="",Q238&gt;0),Q238,""))</f>
        <v/>
      </c>
      <c r="AC238" s="59" t="n"/>
      <c r="AD238" s="59" t="n"/>
      <c r="AE238" s="60" t="str">
        <f>IF(AND(C238&lt;&gt;"",B238='Client Sign-Off'!$D$7),COUNTIFS($B$6:B238,'Client Sign-Off'!$D$7,$C$6:C238,"?*"),"")</f>
        <v/>
      </c>
    </row>
    <row r="239" ht="18" customHeight="1">
      <c r="A239" s="54" t="str">
        <f>IF(C239="","",ROW()-5)</f>
        <v/>
      </c>
      <c r="B239" s="40" t="n"/>
      <c r="C239" s="40" t="n"/>
      <c r="D239" s="40" t="n"/>
      <c r="E239" s="40" t="n"/>
      <c r="F239" s="40" t="n"/>
      <c r="G239" s="55" t="str">
        <f>IF(F239="","",IFERROR(IF(INDEX(Project!$C$24:$C$27,MATCH(F239,Project!$B$24:$B$27,0))="","",INDEX(Project!$C$24:$C$27,MATCH(F239,Project!$B$24:$B$27,0))),""))</f>
        <v/>
      </c>
      <c r="H239" s="40" t="n"/>
      <c r="I239" s="40" t="n"/>
      <c r="J239" s="40" t="n"/>
      <c r="K239" s="40" t="n"/>
      <c r="L239" s="56" t="n"/>
      <c r="M239" s="40" t="n"/>
      <c r="N239" s="57" t="n"/>
      <c r="O239" s="35" t="str">
        <f>IF(OR(L239="",N239=""),"",L239*N239)</f>
        <v/>
      </c>
      <c r="P239" s="43" t="n"/>
      <c r="Q239" s="36" t="str">
        <f>IF(OR(O239="",P239=""),"",O239-P239)</f>
        <v/>
      </c>
      <c r="R239" s="40" t="n"/>
      <c r="S239" s="40" t="n"/>
      <c r="T239" s="58" t="n"/>
      <c r="U239" s="42" t="n"/>
      <c r="V239" s="55" t="str">
        <f>IF(OR(U239="",T239=""),"",U239-T239)</f>
        <v/>
      </c>
      <c r="W239" s="40" t="n"/>
      <c r="X239" s="42" t="n"/>
      <c r="Y239" s="40" t="n"/>
      <c r="Z239" s="32" t="str">
        <f>IF(C239="","",IF(OR(W239="Ordered",W239="Received",W239="Installed"),"Ordered",IF(AND(I239&lt;&gt;"",J239&lt;&gt;"",L239&lt;&gt;"",R239&lt;&gt;"",T239&lt;&gt;"",X239&lt;&gt;""),"READY","Missing: "&amp;_xlfn.TEXTJOIN(", ",TRUE,IF(I239="","model",""),IF(J239="","finish",""),IF(L239="","qty",""),IF(R239="","supplier",""),IF(T239="","lead time",""),IF(X239="","approval","")))))</f>
        <v/>
      </c>
      <c r="AA239" s="54" t="str">
        <f>IF(C239="","",IF(OR(W239="Ordered",W239="Received",W239="Installed"),"",IF(AND(G239&lt;&gt;"",X239="",G239&lt;TODAY()),"DECISION OVERDUE",IF(V239="","",IF(V239&lt;TODAY(),"ORDER OVERDUE",IF(V239-TODAY()&lt;=14,"ORDER SOON",""))))))</f>
        <v/>
      </c>
      <c r="AB239" s="35" t="str">
        <f>IF(Q239="","",IF(AND(X239="",Q239&gt;0),Q239,""))</f>
        <v/>
      </c>
      <c r="AC239" s="59" t="n"/>
      <c r="AD239" s="59" t="n"/>
      <c r="AE239" s="60" t="str">
        <f>IF(AND(C239&lt;&gt;"",B239='Client Sign-Off'!$D$7),COUNTIFS($B$6:B239,'Client Sign-Off'!$D$7,$C$6:C239,"?*"),"")</f>
        <v/>
      </c>
    </row>
    <row r="240" ht="18" customHeight="1">
      <c r="A240" s="54" t="str">
        <f>IF(C240="","",ROW()-5)</f>
        <v/>
      </c>
      <c r="B240" s="40" t="n"/>
      <c r="C240" s="40" t="n"/>
      <c r="D240" s="40" t="n"/>
      <c r="E240" s="40" t="n"/>
      <c r="F240" s="40" t="n"/>
      <c r="G240" s="55" t="str">
        <f>IF(F240="","",IFERROR(IF(INDEX(Project!$C$24:$C$27,MATCH(F240,Project!$B$24:$B$27,0))="","",INDEX(Project!$C$24:$C$27,MATCH(F240,Project!$B$24:$B$27,0))),""))</f>
        <v/>
      </c>
      <c r="H240" s="40" t="n"/>
      <c r="I240" s="40" t="n"/>
      <c r="J240" s="40" t="n"/>
      <c r="K240" s="40" t="n"/>
      <c r="L240" s="56" t="n"/>
      <c r="M240" s="40" t="n"/>
      <c r="N240" s="57" t="n"/>
      <c r="O240" s="35" t="str">
        <f>IF(OR(L240="",N240=""),"",L240*N240)</f>
        <v/>
      </c>
      <c r="P240" s="43" t="n"/>
      <c r="Q240" s="36" t="str">
        <f>IF(OR(O240="",P240=""),"",O240-P240)</f>
        <v/>
      </c>
      <c r="R240" s="40" t="n"/>
      <c r="S240" s="40" t="n"/>
      <c r="T240" s="58" t="n"/>
      <c r="U240" s="42" t="n"/>
      <c r="V240" s="55" t="str">
        <f>IF(OR(U240="",T240=""),"",U240-T240)</f>
        <v/>
      </c>
      <c r="W240" s="40" t="n"/>
      <c r="X240" s="42" t="n"/>
      <c r="Y240" s="40" t="n"/>
      <c r="Z240" s="32" t="str">
        <f>IF(C240="","",IF(OR(W240="Ordered",W240="Received",W240="Installed"),"Ordered",IF(AND(I240&lt;&gt;"",J240&lt;&gt;"",L240&lt;&gt;"",R240&lt;&gt;"",T240&lt;&gt;"",X240&lt;&gt;""),"READY","Missing: "&amp;_xlfn.TEXTJOIN(", ",TRUE,IF(I240="","model",""),IF(J240="","finish",""),IF(L240="","qty",""),IF(R240="","supplier",""),IF(T240="","lead time",""),IF(X240="","approval","")))))</f>
        <v/>
      </c>
      <c r="AA240" s="54" t="str">
        <f>IF(C240="","",IF(OR(W240="Ordered",W240="Received",W240="Installed"),"",IF(AND(G240&lt;&gt;"",X240="",G240&lt;TODAY()),"DECISION OVERDUE",IF(V240="","",IF(V240&lt;TODAY(),"ORDER OVERDUE",IF(V240-TODAY()&lt;=14,"ORDER SOON",""))))))</f>
        <v/>
      </c>
      <c r="AB240" s="35" t="str">
        <f>IF(Q240="","",IF(AND(X240="",Q240&gt;0),Q240,""))</f>
        <v/>
      </c>
      <c r="AC240" s="59" t="n"/>
      <c r="AD240" s="59" t="n"/>
      <c r="AE240" s="60" t="str">
        <f>IF(AND(C240&lt;&gt;"",B240='Client Sign-Off'!$D$7),COUNTIFS($B$6:B240,'Client Sign-Off'!$D$7,$C$6:C240,"?*"),"")</f>
        <v/>
      </c>
    </row>
    <row r="241" ht="18" customHeight="1">
      <c r="A241" s="54" t="str">
        <f>IF(C241="","",ROW()-5)</f>
        <v/>
      </c>
      <c r="B241" s="40" t="n"/>
      <c r="C241" s="40" t="n"/>
      <c r="D241" s="40" t="n"/>
      <c r="E241" s="40" t="n"/>
      <c r="F241" s="40" t="n"/>
      <c r="G241" s="55" t="str">
        <f>IF(F241="","",IFERROR(IF(INDEX(Project!$C$24:$C$27,MATCH(F241,Project!$B$24:$B$27,0))="","",INDEX(Project!$C$24:$C$27,MATCH(F241,Project!$B$24:$B$27,0))),""))</f>
        <v/>
      </c>
      <c r="H241" s="40" t="n"/>
      <c r="I241" s="40" t="n"/>
      <c r="J241" s="40" t="n"/>
      <c r="K241" s="40" t="n"/>
      <c r="L241" s="56" t="n"/>
      <c r="M241" s="40" t="n"/>
      <c r="N241" s="57" t="n"/>
      <c r="O241" s="35" t="str">
        <f>IF(OR(L241="",N241=""),"",L241*N241)</f>
        <v/>
      </c>
      <c r="P241" s="43" t="n"/>
      <c r="Q241" s="36" t="str">
        <f>IF(OR(O241="",P241=""),"",O241-P241)</f>
        <v/>
      </c>
      <c r="R241" s="40" t="n"/>
      <c r="S241" s="40" t="n"/>
      <c r="T241" s="58" t="n"/>
      <c r="U241" s="42" t="n"/>
      <c r="V241" s="55" t="str">
        <f>IF(OR(U241="",T241=""),"",U241-T241)</f>
        <v/>
      </c>
      <c r="W241" s="40" t="n"/>
      <c r="X241" s="42" t="n"/>
      <c r="Y241" s="40" t="n"/>
      <c r="Z241" s="32" t="str">
        <f>IF(C241="","",IF(OR(W241="Ordered",W241="Received",W241="Installed"),"Ordered",IF(AND(I241&lt;&gt;"",J241&lt;&gt;"",L241&lt;&gt;"",R241&lt;&gt;"",T241&lt;&gt;"",X241&lt;&gt;""),"READY","Missing: "&amp;_xlfn.TEXTJOIN(", ",TRUE,IF(I241="","model",""),IF(J241="","finish",""),IF(L241="","qty",""),IF(R241="","supplier",""),IF(T241="","lead time",""),IF(X241="","approval","")))))</f>
        <v/>
      </c>
      <c r="AA241" s="54" t="str">
        <f>IF(C241="","",IF(OR(W241="Ordered",W241="Received",W241="Installed"),"",IF(AND(G241&lt;&gt;"",X241="",G241&lt;TODAY()),"DECISION OVERDUE",IF(V241="","",IF(V241&lt;TODAY(),"ORDER OVERDUE",IF(V241-TODAY()&lt;=14,"ORDER SOON",""))))))</f>
        <v/>
      </c>
      <c r="AB241" s="35" t="str">
        <f>IF(Q241="","",IF(AND(X241="",Q241&gt;0),Q241,""))</f>
        <v/>
      </c>
      <c r="AC241" s="59" t="n"/>
      <c r="AD241" s="59" t="n"/>
      <c r="AE241" s="60" t="str">
        <f>IF(AND(C241&lt;&gt;"",B241='Client Sign-Off'!$D$7),COUNTIFS($B$6:B241,'Client Sign-Off'!$D$7,$C$6:C241,"?*"),"")</f>
        <v/>
      </c>
    </row>
    <row r="242" ht="18" customHeight="1">
      <c r="A242" s="54" t="str">
        <f>IF(C242="","",ROW()-5)</f>
        <v/>
      </c>
      <c r="B242" s="40" t="n"/>
      <c r="C242" s="40" t="n"/>
      <c r="D242" s="40" t="n"/>
      <c r="E242" s="40" t="n"/>
      <c r="F242" s="40" t="n"/>
      <c r="G242" s="55" t="str">
        <f>IF(F242="","",IFERROR(IF(INDEX(Project!$C$24:$C$27,MATCH(F242,Project!$B$24:$B$27,0))="","",INDEX(Project!$C$24:$C$27,MATCH(F242,Project!$B$24:$B$27,0))),""))</f>
        <v/>
      </c>
      <c r="H242" s="40" t="n"/>
      <c r="I242" s="40" t="n"/>
      <c r="J242" s="40" t="n"/>
      <c r="K242" s="40" t="n"/>
      <c r="L242" s="56" t="n"/>
      <c r="M242" s="40" t="n"/>
      <c r="N242" s="57" t="n"/>
      <c r="O242" s="35" t="str">
        <f>IF(OR(L242="",N242=""),"",L242*N242)</f>
        <v/>
      </c>
      <c r="P242" s="43" t="n"/>
      <c r="Q242" s="36" t="str">
        <f>IF(OR(O242="",P242=""),"",O242-P242)</f>
        <v/>
      </c>
      <c r="R242" s="40" t="n"/>
      <c r="S242" s="40" t="n"/>
      <c r="T242" s="58" t="n"/>
      <c r="U242" s="42" t="n"/>
      <c r="V242" s="55" t="str">
        <f>IF(OR(U242="",T242=""),"",U242-T242)</f>
        <v/>
      </c>
      <c r="W242" s="40" t="n"/>
      <c r="X242" s="42" t="n"/>
      <c r="Y242" s="40" t="n"/>
      <c r="Z242" s="32" t="str">
        <f>IF(C242="","",IF(OR(W242="Ordered",W242="Received",W242="Installed"),"Ordered",IF(AND(I242&lt;&gt;"",J242&lt;&gt;"",L242&lt;&gt;"",R242&lt;&gt;"",T242&lt;&gt;"",X242&lt;&gt;""),"READY","Missing: "&amp;_xlfn.TEXTJOIN(", ",TRUE,IF(I242="","model",""),IF(J242="","finish",""),IF(L242="","qty",""),IF(R242="","supplier",""),IF(T242="","lead time",""),IF(X242="","approval","")))))</f>
        <v/>
      </c>
      <c r="AA242" s="54" t="str">
        <f>IF(C242="","",IF(OR(W242="Ordered",W242="Received",W242="Installed"),"",IF(AND(G242&lt;&gt;"",X242="",G242&lt;TODAY()),"DECISION OVERDUE",IF(V242="","",IF(V242&lt;TODAY(),"ORDER OVERDUE",IF(V242-TODAY()&lt;=14,"ORDER SOON",""))))))</f>
        <v/>
      </c>
      <c r="AB242" s="35" t="str">
        <f>IF(Q242="","",IF(AND(X242="",Q242&gt;0),Q242,""))</f>
        <v/>
      </c>
      <c r="AC242" s="59" t="n"/>
      <c r="AD242" s="59" t="n"/>
      <c r="AE242" s="60" t="str">
        <f>IF(AND(C242&lt;&gt;"",B242='Client Sign-Off'!$D$7),COUNTIFS($B$6:B242,'Client Sign-Off'!$D$7,$C$6:C242,"?*"),"")</f>
        <v/>
      </c>
    </row>
    <row r="243" ht="18" customHeight="1">
      <c r="A243" s="54" t="str">
        <f>IF(C243="","",ROW()-5)</f>
        <v/>
      </c>
      <c r="B243" s="40" t="n"/>
      <c r="C243" s="40" t="n"/>
      <c r="D243" s="40" t="n"/>
      <c r="E243" s="40" t="n"/>
      <c r="F243" s="40" t="n"/>
      <c r="G243" s="55" t="str">
        <f>IF(F243="","",IFERROR(IF(INDEX(Project!$C$24:$C$27,MATCH(F243,Project!$B$24:$B$27,0))="","",INDEX(Project!$C$24:$C$27,MATCH(F243,Project!$B$24:$B$27,0))),""))</f>
        <v/>
      </c>
      <c r="H243" s="40" t="n"/>
      <c r="I243" s="40" t="n"/>
      <c r="J243" s="40" t="n"/>
      <c r="K243" s="40" t="n"/>
      <c r="L243" s="56" t="n"/>
      <c r="M243" s="40" t="n"/>
      <c r="N243" s="57" t="n"/>
      <c r="O243" s="35" t="str">
        <f>IF(OR(L243="",N243=""),"",L243*N243)</f>
        <v/>
      </c>
      <c r="P243" s="43" t="n"/>
      <c r="Q243" s="36" t="str">
        <f>IF(OR(O243="",P243=""),"",O243-P243)</f>
        <v/>
      </c>
      <c r="R243" s="40" t="n"/>
      <c r="S243" s="40" t="n"/>
      <c r="T243" s="58" t="n"/>
      <c r="U243" s="42" t="n"/>
      <c r="V243" s="55" t="str">
        <f>IF(OR(U243="",T243=""),"",U243-T243)</f>
        <v/>
      </c>
      <c r="W243" s="40" t="n"/>
      <c r="X243" s="42" t="n"/>
      <c r="Y243" s="40" t="n"/>
      <c r="Z243" s="32" t="str">
        <f>IF(C243="","",IF(OR(W243="Ordered",W243="Received",W243="Installed"),"Ordered",IF(AND(I243&lt;&gt;"",J243&lt;&gt;"",L243&lt;&gt;"",R243&lt;&gt;"",T243&lt;&gt;"",X243&lt;&gt;""),"READY","Missing: "&amp;_xlfn.TEXTJOIN(", ",TRUE,IF(I243="","model",""),IF(J243="","finish",""),IF(L243="","qty",""),IF(R243="","supplier",""),IF(T243="","lead time",""),IF(X243="","approval","")))))</f>
        <v/>
      </c>
      <c r="AA243" s="54" t="str">
        <f>IF(C243="","",IF(OR(W243="Ordered",W243="Received",W243="Installed"),"",IF(AND(G243&lt;&gt;"",X243="",G243&lt;TODAY()),"DECISION OVERDUE",IF(V243="","",IF(V243&lt;TODAY(),"ORDER OVERDUE",IF(V243-TODAY()&lt;=14,"ORDER SOON",""))))))</f>
        <v/>
      </c>
      <c r="AB243" s="35" t="str">
        <f>IF(Q243="","",IF(AND(X243="",Q243&gt;0),Q243,""))</f>
        <v/>
      </c>
      <c r="AC243" s="59" t="n"/>
      <c r="AD243" s="59" t="n"/>
      <c r="AE243" s="60" t="str">
        <f>IF(AND(C243&lt;&gt;"",B243='Client Sign-Off'!$D$7),COUNTIFS($B$6:B243,'Client Sign-Off'!$D$7,$C$6:C243,"?*"),"")</f>
        <v/>
      </c>
    </row>
    <row r="244" ht="18" customHeight="1">
      <c r="A244" s="54" t="str">
        <f>IF(C244="","",ROW()-5)</f>
        <v/>
      </c>
      <c r="B244" s="40" t="n"/>
      <c r="C244" s="40" t="n"/>
      <c r="D244" s="40" t="n"/>
      <c r="E244" s="40" t="n"/>
      <c r="F244" s="40" t="n"/>
      <c r="G244" s="55" t="str">
        <f>IF(F244="","",IFERROR(IF(INDEX(Project!$C$24:$C$27,MATCH(F244,Project!$B$24:$B$27,0))="","",INDEX(Project!$C$24:$C$27,MATCH(F244,Project!$B$24:$B$27,0))),""))</f>
        <v/>
      </c>
      <c r="H244" s="40" t="n"/>
      <c r="I244" s="40" t="n"/>
      <c r="J244" s="40" t="n"/>
      <c r="K244" s="40" t="n"/>
      <c r="L244" s="56" t="n"/>
      <c r="M244" s="40" t="n"/>
      <c r="N244" s="57" t="n"/>
      <c r="O244" s="35" t="str">
        <f>IF(OR(L244="",N244=""),"",L244*N244)</f>
        <v/>
      </c>
      <c r="P244" s="43" t="n"/>
      <c r="Q244" s="36" t="str">
        <f>IF(OR(O244="",P244=""),"",O244-P244)</f>
        <v/>
      </c>
      <c r="R244" s="40" t="n"/>
      <c r="S244" s="40" t="n"/>
      <c r="T244" s="58" t="n"/>
      <c r="U244" s="42" t="n"/>
      <c r="V244" s="55" t="str">
        <f>IF(OR(U244="",T244=""),"",U244-T244)</f>
        <v/>
      </c>
      <c r="W244" s="40" t="n"/>
      <c r="X244" s="42" t="n"/>
      <c r="Y244" s="40" t="n"/>
      <c r="Z244" s="32" t="str">
        <f>IF(C244="","",IF(OR(W244="Ordered",W244="Received",W244="Installed"),"Ordered",IF(AND(I244&lt;&gt;"",J244&lt;&gt;"",L244&lt;&gt;"",R244&lt;&gt;"",T244&lt;&gt;"",X244&lt;&gt;""),"READY","Missing: "&amp;_xlfn.TEXTJOIN(", ",TRUE,IF(I244="","model",""),IF(J244="","finish",""),IF(L244="","qty",""),IF(R244="","supplier",""),IF(T244="","lead time",""),IF(X244="","approval","")))))</f>
        <v/>
      </c>
      <c r="AA244" s="54" t="str">
        <f>IF(C244="","",IF(OR(W244="Ordered",W244="Received",W244="Installed"),"",IF(AND(G244&lt;&gt;"",X244="",G244&lt;TODAY()),"DECISION OVERDUE",IF(V244="","",IF(V244&lt;TODAY(),"ORDER OVERDUE",IF(V244-TODAY()&lt;=14,"ORDER SOON",""))))))</f>
        <v/>
      </c>
      <c r="AB244" s="35" t="str">
        <f>IF(Q244="","",IF(AND(X244="",Q244&gt;0),Q244,""))</f>
        <v/>
      </c>
      <c r="AC244" s="59" t="n"/>
      <c r="AD244" s="59" t="n"/>
      <c r="AE244" s="60" t="str">
        <f>IF(AND(C244&lt;&gt;"",B244='Client Sign-Off'!$D$7),COUNTIFS($B$6:B244,'Client Sign-Off'!$D$7,$C$6:C244,"?*"),"")</f>
        <v/>
      </c>
    </row>
    <row r="245" ht="18" customHeight="1">
      <c r="A245" s="54" t="str">
        <f>IF(C245="","",ROW()-5)</f>
        <v/>
      </c>
      <c r="B245" s="40" t="n"/>
      <c r="C245" s="40" t="n"/>
      <c r="D245" s="40" t="n"/>
      <c r="E245" s="40" t="n"/>
      <c r="F245" s="40" t="n"/>
      <c r="G245" s="55" t="str">
        <f>IF(F245="","",IFERROR(IF(INDEX(Project!$C$24:$C$27,MATCH(F245,Project!$B$24:$B$27,0))="","",INDEX(Project!$C$24:$C$27,MATCH(F245,Project!$B$24:$B$27,0))),""))</f>
        <v/>
      </c>
      <c r="H245" s="40" t="n"/>
      <c r="I245" s="40" t="n"/>
      <c r="J245" s="40" t="n"/>
      <c r="K245" s="40" t="n"/>
      <c r="L245" s="56" t="n"/>
      <c r="M245" s="40" t="n"/>
      <c r="N245" s="57" t="n"/>
      <c r="O245" s="35" t="str">
        <f>IF(OR(L245="",N245=""),"",L245*N245)</f>
        <v/>
      </c>
      <c r="P245" s="43" t="n"/>
      <c r="Q245" s="36" t="str">
        <f>IF(OR(O245="",P245=""),"",O245-P245)</f>
        <v/>
      </c>
      <c r="R245" s="40" t="n"/>
      <c r="S245" s="40" t="n"/>
      <c r="T245" s="58" t="n"/>
      <c r="U245" s="42" t="n"/>
      <c r="V245" s="55" t="str">
        <f>IF(OR(U245="",T245=""),"",U245-T245)</f>
        <v/>
      </c>
      <c r="W245" s="40" t="n"/>
      <c r="X245" s="42" t="n"/>
      <c r="Y245" s="40" t="n"/>
      <c r="Z245" s="32" t="str">
        <f>IF(C245="","",IF(OR(W245="Ordered",W245="Received",W245="Installed"),"Ordered",IF(AND(I245&lt;&gt;"",J245&lt;&gt;"",L245&lt;&gt;"",R245&lt;&gt;"",T245&lt;&gt;"",X245&lt;&gt;""),"READY","Missing: "&amp;_xlfn.TEXTJOIN(", ",TRUE,IF(I245="","model",""),IF(J245="","finish",""),IF(L245="","qty",""),IF(R245="","supplier",""),IF(T245="","lead time",""),IF(X245="","approval","")))))</f>
        <v/>
      </c>
      <c r="AA245" s="54" t="str">
        <f>IF(C245="","",IF(OR(W245="Ordered",W245="Received",W245="Installed"),"",IF(AND(G245&lt;&gt;"",X245="",G245&lt;TODAY()),"DECISION OVERDUE",IF(V245="","",IF(V245&lt;TODAY(),"ORDER OVERDUE",IF(V245-TODAY()&lt;=14,"ORDER SOON",""))))))</f>
        <v/>
      </c>
      <c r="AB245" s="35" t="str">
        <f>IF(Q245="","",IF(AND(X245="",Q245&gt;0),Q245,""))</f>
        <v/>
      </c>
      <c r="AC245" s="59" t="n"/>
      <c r="AD245" s="59" t="n"/>
      <c r="AE245" s="60" t="str">
        <f>IF(AND(C245&lt;&gt;"",B245='Client Sign-Off'!$D$7),COUNTIFS($B$6:B245,'Client Sign-Off'!$D$7,$C$6:C245,"?*"),"")</f>
        <v/>
      </c>
    </row>
    <row r="246" ht="18" customHeight="1">
      <c r="A246" s="54" t="str">
        <f>IF(C246="","",ROW()-5)</f>
        <v/>
      </c>
      <c r="B246" s="40" t="n"/>
      <c r="C246" s="40" t="n"/>
      <c r="D246" s="40" t="n"/>
      <c r="E246" s="40" t="n"/>
      <c r="F246" s="40" t="n"/>
      <c r="G246" s="55" t="str">
        <f>IF(F246="","",IFERROR(IF(INDEX(Project!$C$24:$C$27,MATCH(F246,Project!$B$24:$B$27,0))="","",INDEX(Project!$C$24:$C$27,MATCH(F246,Project!$B$24:$B$27,0))),""))</f>
        <v/>
      </c>
      <c r="H246" s="40" t="n"/>
      <c r="I246" s="40" t="n"/>
      <c r="J246" s="40" t="n"/>
      <c r="K246" s="40" t="n"/>
      <c r="L246" s="56" t="n"/>
      <c r="M246" s="40" t="n"/>
      <c r="N246" s="57" t="n"/>
      <c r="O246" s="35" t="str">
        <f>IF(OR(L246="",N246=""),"",L246*N246)</f>
        <v/>
      </c>
      <c r="P246" s="43" t="n"/>
      <c r="Q246" s="36" t="str">
        <f>IF(OR(O246="",P246=""),"",O246-P246)</f>
        <v/>
      </c>
      <c r="R246" s="40" t="n"/>
      <c r="S246" s="40" t="n"/>
      <c r="T246" s="58" t="n"/>
      <c r="U246" s="42" t="n"/>
      <c r="V246" s="55" t="str">
        <f>IF(OR(U246="",T246=""),"",U246-T246)</f>
        <v/>
      </c>
      <c r="W246" s="40" t="n"/>
      <c r="X246" s="42" t="n"/>
      <c r="Y246" s="40" t="n"/>
      <c r="Z246" s="32" t="str">
        <f>IF(C246="","",IF(OR(W246="Ordered",W246="Received",W246="Installed"),"Ordered",IF(AND(I246&lt;&gt;"",J246&lt;&gt;"",L246&lt;&gt;"",R246&lt;&gt;"",T246&lt;&gt;"",X246&lt;&gt;""),"READY","Missing: "&amp;_xlfn.TEXTJOIN(", ",TRUE,IF(I246="","model",""),IF(J246="","finish",""),IF(L246="","qty",""),IF(R246="","supplier",""),IF(T246="","lead time",""),IF(X246="","approval","")))))</f>
        <v/>
      </c>
      <c r="AA246" s="54" t="str">
        <f>IF(C246="","",IF(OR(W246="Ordered",W246="Received",W246="Installed"),"",IF(AND(G246&lt;&gt;"",X246="",G246&lt;TODAY()),"DECISION OVERDUE",IF(V246="","",IF(V246&lt;TODAY(),"ORDER OVERDUE",IF(V246-TODAY()&lt;=14,"ORDER SOON",""))))))</f>
        <v/>
      </c>
      <c r="AB246" s="35" t="str">
        <f>IF(Q246="","",IF(AND(X246="",Q246&gt;0),Q246,""))</f>
        <v/>
      </c>
      <c r="AC246" s="59" t="n"/>
      <c r="AD246" s="59" t="n"/>
      <c r="AE246" s="60" t="str">
        <f>IF(AND(C246&lt;&gt;"",B246='Client Sign-Off'!$D$7),COUNTIFS($B$6:B246,'Client Sign-Off'!$D$7,$C$6:C246,"?*"),"")</f>
        <v/>
      </c>
    </row>
    <row r="247" ht="18" customHeight="1">
      <c r="A247" s="54" t="str">
        <f>IF(C247="","",ROW()-5)</f>
        <v/>
      </c>
      <c r="B247" s="40" t="n"/>
      <c r="C247" s="40" t="n"/>
      <c r="D247" s="40" t="n"/>
      <c r="E247" s="40" t="n"/>
      <c r="F247" s="40" t="n"/>
      <c r="G247" s="55" t="str">
        <f>IF(F247="","",IFERROR(IF(INDEX(Project!$C$24:$C$27,MATCH(F247,Project!$B$24:$B$27,0))="","",INDEX(Project!$C$24:$C$27,MATCH(F247,Project!$B$24:$B$27,0))),""))</f>
        <v/>
      </c>
      <c r="H247" s="40" t="n"/>
      <c r="I247" s="40" t="n"/>
      <c r="J247" s="40" t="n"/>
      <c r="K247" s="40" t="n"/>
      <c r="L247" s="56" t="n"/>
      <c r="M247" s="40" t="n"/>
      <c r="N247" s="57" t="n"/>
      <c r="O247" s="35" t="str">
        <f>IF(OR(L247="",N247=""),"",L247*N247)</f>
        <v/>
      </c>
      <c r="P247" s="43" t="n"/>
      <c r="Q247" s="36" t="str">
        <f>IF(OR(O247="",P247=""),"",O247-P247)</f>
        <v/>
      </c>
      <c r="R247" s="40" t="n"/>
      <c r="S247" s="40" t="n"/>
      <c r="T247" s="58" t="n"/>
      <c r="U247" s="42" t="n"/>
      <c r="V247" s="55" t="str">
        <f>IF(OR(U247="",T247=""),"",U247-T247)</f>
        <v/>
      </c>
      <c r="W247" s="40" t="n"/>
      <c r="X247" s="42" t="n"/>
      <c r="Y247" s="40" t="n"/>
      <c r="Z247" s="32" t="str">
        <f>IF(C247="","",IF(OR(W247="Ordered",W247="Received",W247="Installed"),"Ordered",IF(AND(I247&lt;&gt;"",J247&lt;&gt;"",L247&lt;&gt;"",R247&lt;&gt;"",T247&lt;&gt;"",X247&lt;&gt;""),"READY","Missing: "&amp;_xlfn.TEXTJOIN(", ",TRUE,IF(I247="","model",""),IF(J247="","finish",""),IF(L247="","qty",""),IF(R247="","supplier",""),IF(T247="","lead time",""),IF(X247="","approval","")))))</f>
        <v/>
      </c>
      <c r="AA247" s="54" t="str">
        <f>IF(C247="","",IF(OR(W247="Ordered",W247="Received",W247="Installed"),"",IF(AND(G247&lt;&gt;"",X247="",G247&lt;TODAY()),"DECISION OVERDUE",IF(V247="","",IF(V247&lt;TODAY(),"ORDER OVERDUE",IF(V247-TODAY()&lt;=14,"ORDER SOON",""))))))</f>
        <v/>
      </c>
      <c r="AB247" s="35" t="str">
        <f>IF(Q247="","",IF(AND(X247="",Q247&gt;0),Q247,""))</f>
        <v/>
      </c>
      <c r="AC247" s="59" t="n"/>
      <c r="AD247" s="59" t="n"/>
      <c r="AE247" s="60" t="str">
        <f>IF(AND(C247&lt;&gt;"",B247='Client Sign-Off'!$D$7),COUNTIFS($B$6:B247,'Client Sign-Off'!$D$7,$C$6:C247,"?*"),"")</f>
        <v/>
      </c>
    </row>
    <row r="248" ht="18" customHeight="1">
      <c r="A248" s="54" t="str">
        <f>IF(C248="","",ROW()-5)</f>
        <v/>
      </c>
      <c r="B248" s="40" t="n"/>
      <c r="C248" s="40" t="n"/>
      <c r="D248" s="40" t="n"/>
      <c r="E248" s="40" t="n"/>
      <c r="F248" s="40" t="n"/>
      <c r="G248" s="55" t="str">
        <f>IF(F248="","",IFERROR(IF(INDEX(Project!$C$24:$C$27,MATCH(F248,Project!$B$24:$B$27,0))="","",INDEX(Project!$C$24:$C$27,MATCH(F248,Project!$B$24:$B$27,0))),""))</f>
        <v/>
      </c>
      <c r="H248" s="40" t="n"/>
      <c r="I248" s="40" t="n"/>
      <c r="J248" s="40" t="n"/>
      <c r="K248" s="40" t="n"/>
      <c r="L248" s="56" t="n"/>
      <c r="M248" s="40" t="n"/>
      <c r="N248" s="57" t="n"/>
      <c r="O248" s="35" t="str">
        <f>IF(OR(L248="",N248=""),"",L248*N248)</f>
        <v/>
      </c>
      <c r="P248" s="43" t="n"/>
      <c r="Q248" s="36" t="str">
        <f>IF(OR(O248="",P248=""),"",O248-P248)</f>
        <v/>
      </c>
      <c r="R248" s="40" t="n"/>
      <c r="S248" s="40" t="n"/>
      <c r="T248" s="58" t="n"/>
      <c r="U248" s="42" t="n"/>
      <c r="V248" s="55" t="str">
        <f>IF(OR(U248="",T248=""),"",U248-T248)</f>
        <v/>
      </c>
      <c r="W248" s="40" t="n"/>
      <c r="X248" s="42" t="n"/>
      <c r="Y248" s="40" t="n"/>
      <c r="Z248" s="32" t="str">
        <f>IF(C248="","",IF(OR(W248="Ordered",W248="Received",W248="Installed"),"Ordered",IF(AND(I248&lt;&gt;"",J248&lt;&gt;"",L248&lt;&gt;"",R248&lt;&gt;"",T248&lt;&gt;"",X248&lt;&gt;""),"READY","Missing: "&amp;_xlfn.TEXTJOIN(", ",TRUE,IF(I248="","model",""),IF(J248="","finish",""),IF(L248="","qty",""),IF(R248="","supplier",""),IF(T248="","lead time",""),IF(X248="","approval","")))))</f>
        <v/>
      </c>
      <c r="AA248" s="54" t="str">
        <f>IF(C248="","",IF(OR(W248="Ordered",W248="Received",W248="Installed"),"",IF(AND(G248&lt;&gt;"",X248="",G248&lt;TODAY()),"DECISION OVERDUE",IF(V248="","",IF(V248&lt;TODAY(),"ORDER OVERDUE",IF(V248-TODAY()&lt;=14,"ORDER SOON",""))))))</f>
        <v/>
      </c>
      <c r="AB248" s="35" t="str">
        <f>IF(Q248="","",IF(AND(X248="",Q248&gt;0),Q248,""))</f>
        <v/>
      </c>
      <c r="AC248" s="59" t="n"/>
      <c r="AD248" s="59" t="n"/>
      <c r="AE248" s="60" t="str">
        <f>IF(AND(C248&lt;&gt;"",B248='Client Sign-Off'!$D$7),COUNTIFS($B$6:B248,'Client Sign-Off'!$D$7,$C$6:C248,"?*"),"")</f>
        <v/>
      </c>
    </row>
    <row r="249" ht="18" customHeight="1">
      <c r="A249" s="54" t="str">
        <f>IF(C249="","",ROW()-5)</f>
        <v/>
      </c>
      <c r="B249" s="40" t="n"/>
      <c r="C249" s="40" t="n"/>
      <c r="D249" s="40" t="n"/>
      <c r="E249" s="40" t="n"/>
      <c r="F249" s="40" t="n"/>
      <c r="G249" s="55" t="str">
        <f>IF(F249="","",IFERROR(IF(INDEX(Project!$C$24:$C$27,MATCH(F249,Project!$B$24:$B$27,0))="","",INDEX(Project!$C$24:$C$27,MATCH(F249,Project!$B$24:$B$27,0))),""))</f>
        <v/>
      </c>
      <c r="H249" s="40" t="n"/>
      <c r="I249" s="40" t="n"/>
      <c r="J249" s="40" t="n"/>
      <c r="K249" s="40" t="n"/>
      <c r="L249" s="56" t="n"/>
      <c r="M249" s="40" t="n"/>
      <c r="N249" s="57" t="n"/>
      <c r="O249" s="35" t="str">
        <f>IF(OR(L249="",N249=""),"",L249*N249)</f>
        <v/>
      </c>
      <c r="P249" s="43" t="n"/>
      <c r="Q249" s="36" t="str">
        <f>IF(OR(O249="",P249=""),"",O249-P249)</f>
        <v/>
      </c>
      <c r="R249" s="40" t="n"/>
      <c r="S249" s="40" t="n"/>
      <c r="T249" s="58" t="n"/>
      <c r="U249" s="42" t="n"/>
      <c r="V249" s="55" t="str">
        <f>IF(OR(U249="",T249=""),"",U249-T249)</f>
        <v/>
      </c>
      <c r="W249" s="40" t="n"/>
      <c r="X249" s="42" t="n"/>
      <c r="Y249" s="40" t="n"/>
      <c r="Z249" s="32" t="str">
        <f>IF(C249="","",IF(OR(W249="Ordered",W249="Received",W249="Installed"),"Ordered",IF(AND(I249&lt;&gt;"",J249&lt;&gt;"",L249&lt;&gt;"",R249&lt;&gt;"",T249&lt;&gt;"",X249&lt;&gt;""),"READY","Missing: "&amp;_xlfn.TEXTJOIN(", ",TRUE,IF(I249="","model",""),IF(J249="","finish",""),IF(L249="","qty",""),IF(R249="","supplier",""),IF(T249="","lead time",""),IF(X249="","approval","")))))</f>
        <v/>
      </c>
      <c r="AA249" s="54" t="str">
        <f>IF(C249="","",IF(OR(W249="Ordered",W249="Received",W249="Installed"),"",IF(AND(G249&lt;&gt;"",X249="",G249&lt;TODAY()),"DECISION OVERDUE",IF(V249="","",IF(V249&lt;TODAY(),"ORDER OVERDUE",IF(V249-TODAY()&lt;=14,"ORDER SOON",""))))))</f>
        <v/>
      </c>
      <c r="AB249" s="35" t="str">
        <f>IF(Q249="","",IF(AND(X249="",Q249&gt;0),Q249,""))</f>
        <v/>
      </c>
      <c r="AC249" s="59" t="n"/>
      <c r="AD249" s="59" t="n"/>
      <c r="AE249" s="60" t="str">
        <f>IF(AND(C249&lt;&gt;"",B249='Client Sign-Off'!$D$7),COUNTIFS($B$6:B249,'Client Sign-Off'!$D$7,$C$6:C249,"?*"),"")</f>
        <v/>
      </c>
    </row>
    <row r="250" ht="18" customHeight="1">
      <c r="A250" s="54" t="str">
        <f>IF(C250="","",ROW()-5)</f>
        <v/>
      </c>
      <c r="B250" s="40" t="n"/>
      <c r="C250" s="40" t="n"/>
      <c r="D250" s="40" t="n"/>
      <c r="E250" s="40" t="n"/>
      <c r="F250" s="40" t="n"/>
      <c r="G250" s="55" t="str">
        <f>IF(F250="","",IFERROR(IF(INDEX(Project!$C$24:$C$27,MATCH(F250,Project!$B$24:$B$27,0))="","",INDEX(Project!$C$24:$C$27,MATCH(F250,Project!$B$24:$B$27,0))),""))</f>
        <v/>
      </c>
      <c r="H250" s="40" t="n"/>
      <c r="I250" s="40" t="n"/>
      <c r="J250" s="40" t="n"/>
      <c r="K250" s="40" t="n"/>
      <c r="L250" s="56" t="n"/>
      <c r="M250" s="40" t="n"/>
      <c r="N250" s="57" t="n"/>
      <c r="O250" s="35" t="str">
        <f>IF(OR(L250="",N250=""),"",L250*N250)</f>
        <v/>
      </c>
      <c r="P250" s="43" t="n"/>
      <c r="Q250" s="36" t="str">
        <f>IF(OR(O250="",P250=""),"",O250-P250)</f>
        <v/>
      </c>
      <c r="R250" s="40" t="n"/>
      <c r="S250" s="40" t="n"/>
      <c r="T250" s="58" t="n"/>
      <c r="U250" s="42" t="n"/>
      <c r="V250" s="55" t="str">
        <f>IF(OR(U250="",T250=""),"",U250-T250)</f>
        <v/>
      </c>
      <c r="W250" s="40" t="n"/>
      <c r="X250" s="42" t="n"/>
      <c r="Y250" s="40" t="n"/>
      <c r="Z250" s="32" t="str">
        <f>IF(C250="","",IF(OR(W250="Ordered",W250="Received",W250="Installed"),"Ordered",IF(AND(I250&lt;&gt;"",J250&lt;&gt;"",L250&lt;&gt;"",R250&lt;&gt;"",T250&lt;&gt;"",X250&lt;&gt;""),"READY","Missing: "&amp;_xlfn.TEXTJOIN(", ",TRUE,IF(I250="","model",""),IF(J250="","finish",""),IF(L250="","qty",""),IF(R250="","supplier",""),IF(T250="","lead time",""),IF(X250="","approval","")))))</f>
        <v/>
      </c>
      <c r="AA250" s="54" t="str">
        <f>IF(C250="","",IF(OR(W250="Ordered",W250="Received",W250="Installed"),"",IF(AND(G250&lt;&gt;"",X250="",G250&lt;TODAY()),"DECISION OVERDUE",IF(V250="","",IF(V250&lt;TODAY(),"ORDER OVERDUE",IF(V250-TODAY()&lt;=14,"ORDER SOON",""))))))</f>
        <v/>
      </c>
      <c r="AB250" s="35" t="str">
        <f>IF(Q250="","",IF(AND(X250="",Q250&gt;0),Q250,""))</f>
        <v/>
      </c>
      <c r="AC250" s="59" t="n"/>
      <c r="AD250" s="59" t="n"/>
      <c r="AE250" s="60" t="str">
        <f>IF(AND(C250&lt;&gt;"",B250='Client Sign-Off'!$D$7),COUNTIFS($B$6:B250,'Client Sign-Off'!$D$7,$C$6:C250,"?*"),"")</f>
        <v/>
      </c>
    </row>
    <row r="251" ht="18" customHeight="1">
      <c r="A251" s="54" t="str">
        <f>IF(C251="","",ROW()-5)</f>
        <v/>
      </c>
      <c r="B251" s="40" t="n"/>
      <c r="C251" s="40" t="n"/>
      <c r="D251" s="40" t="n"/>
      <c r="E251" s="40" t="n"/>
      <c r="F251" s="40" t="n"/>
      <c r="G251" s="55" t="str">
        <f>IF(F251="","",IFERROR(IF(INDEX(Project!$C$24:$C$27,MATCH(F251,Project!$B$24:$B$27,0))="","",INDEX(Project!$C$24:$C$27,MATCH(F251,Project!$B$24:$B$27,0))),""))</f>
        <v/>
      </c>
      <c r="H251" s="40" t="n"/>
      <c r="I251" s="40" t="n"/>
      <c r="J251" s="40" t="n"/>
      <c r="K251" s="40" t="n"/>
      <c r="L251" s="56" t="n"/>
      <c r="M251" s="40" t="n"/>
      <c r="N251" s="57" t="n"/>
      <c r="O251" s="35" t="str">
        <f>IF(OR(L251="",N251=""),"",L251*N251)</f>
        <v/>
      </c>
      <c r="P251" s="43" t="n"/>
      <c r="Q251" s="36" t="str">
        <f>IF(OR(O251="",P251=""),"",O251-P251)</f>
        <v/>
      </c>
      <c r="R251" s="40" t="n"/>
      <c r="S251" s="40" t="n"/>
      <c r="T251" s="58" t="n"/>
      <c r="U251" s="42" t="n"/>
      <c r="V251" s="55" t="str">
        <f>IF(OR(U251="",T251=""),"",U251-T251)</f>
        <v/>
      </c>
      <c r="W251" s="40" t="n"/>
      <c r="X251" s="42" t="n"/>
      <c r="Y251" s="40" t="n"/>
      <c r="Z251" s="32" t="str">
        <f>IF(C251="","",IF(OR(W251="Ordered",W251="Received",W251="Installed"),"Ordered",IF(AND(I251&lt;&gt;"",J251&lt;&gt;"",L251&lt;&gt;"",R251&lt;&gt;"",T251&lt;&gt;"",X251&lt;&gt;""),"READY","Missing: "&amp;_xlfn.TEXTJOIN(", ",TRUE,IF(I251="","model",""),IF(J251="","finish",""),IF(L251="","qty",""),IF(R251="","supplier",""),IF(T251="","lead time",""),IF(X251="","approval","")))))</f>
        <v/>
      </c>
      <c r="AA251" s="54" t="str">
        <f>IF(C251="","",IF(OR(W251="Ordered",W251="Received",W251="Installed"),"",IF(AND(G251&lt;&gt;"",X251="",G251&lt;TODAY()),"DECISION OVERDUE",IF(V251="","",IF(V251&lt;TODAY(),"ORDER OVERDUE",IF(V251-TODAY()&lt;=14,"ORDER SOON",""))))))</f>
        <v/>
      </c>
      <c r="AB251" s="35" t="str">
        <f>IF(Q251="","",IF(AND(X251="",Q251&gt;0),Q251,""))</f>
        <v/>
      </c>
      <c r="AC251" s="59" t="n"/>
      <c r="AD251" s="59" t="n"/>
      <c r="AE251" s="60" t="str">
        <f>IF(AND(C251&lt;&gt;"",B251='Client Sign-Off'!$D$7),COUNTIFS($B$6:B251,'Client Sign-Off'!$D$7,$C$6:C251,"?*"),"")</f>
        <v/>
      </c>
    </row>
    <row r="252" ht="18" customHeight="1">
      <c r="A252" s="54" t="str">
        <f>IF(C252="","",ROW()-5)</f>
        <v/>
      </c>
      <c r="B252" s="40" t="n"/>
      <c r="C252" s="40" t="n"/>
      <c r="D252" s="40" t="n"/>
      <c r="E252" s="40" t="n"/>
      <c r="F252" s="40" t="n"/>
      <c r="G252" s="55" t="str">
        <f>IF(F252="","",IFERROR(IF(INDEX(Project!$C$24:$C$27,MATCH(F252,Project!$B$24:$B$27,0))="","",INDEX(Project!$C$24:$C$27,MATCH(F252,Project!$B$24:$B$27,0))),""))</f>
        <v/>
      </c>
      <c r="H252" s="40" t="n"/>
      <c r="I252" s="40" t="n"/>
      <c r="J252" s="40" t="n"/>
      <c r="K252" s="40" t="n"/>
      <c r="L252" s="56" t="n"/>
      <c r="M252" s="40" t="n"/>
      <c r="N252" s="57" t="n"/>
      <c r="O252" s="35" t="str">
        <f>IF(OR(L252="",N252=""),"",L252*N252)</f>
        <v/>
      </c>
      <c r="P252" s="43" t="n"/>
      <c r="Q252" s="36" t="str">
        <f>IF(OR(O252="",P252=""),"",O252-P252)</f>
        <v/>
      </c>
      <c r="R252" s="40" t="n"/>
      <c r="S252" s="40" t="n"/>
      <c r="T252" s="58" t="n"/>
      <c r="U252" s="42" t="n"/>
      <c r="V252" s="55" t="str">
        <f>IF(OR(U252="",T252=""),"",U252-T252)</f>
        <v/>
      </c>
      <c r="W252" s="40" t="n"/>
      <c r="X252" s="42" t="n"/>
      <c r="Y252" s="40" t="n"/>
      <c r="Z252" s="32" t="str">
        <f>IF(C252="","",IF(OR(W252="Ordered",W252="Received",W252="Installed"),"Ordered",IF(AND(I252&lt;&gt;"",J252&lt;&gt;"",L252&lt;&gt;"",R252&lt;&gt;"",T252&lt;&gt;"",X252&lt;&gt;""),"READY","Missing: "&amp;_xlfn.TEXTJOIN(", ",TRUE,IF(I252="","model",""),IF(J252="","finish",""),IF(L252="","qty",""),IF(R252="","supplier",""),IF(T252="","lead time",""),IF(X252="","approval","")))))</f>
        <v/>
      </c>
      <c r="AA252" s="54" t="str">
        <f>IF(C252="","",IF(OR(W252="Ordered",W252="Received",W252="Installed"),"",IF(AND(G252&lt;&gt;"",X252="",G252&lt;TODAY()),"DECISION OVERDUE",IF(V252="","",IF(V252&lt;TODAY(),"ORDER OVERDUE",IF(V252-TODAY()&lt;=14,"ORDER SOON",""))))))</f>
        <v/>
      </c>
      <c r="AB252" s="35" t="str">
        <f>IF(Q252="","",IF(AND(X252="",Q252&gt;0),Q252,""))</f>
        <v/>
      </c>
      <c r="AC252" s="59" t="n"/>
      <c r="AD252" s="59" t="n"/>
      <c r="AE252" s="60" t="str">
        <f>IF(AND(C252&lt;&gt;"",B252='Client Sign-Off'!$D$7),COUNTIFS($B$6:B252,'Client Sign-Off'!$D$7,$C$6:C252,"?*"),"")</f>
        <v/>
      </c>
    </row>
    <row r="253" ht="18" customHeight="1">
      <c r="A253" s="54" t="str">
        <f>IF(C253="","",ROW()-5)</f>
        <v/>
      </c>
      <c r="B253" s="40" t="n"/>
      <c r="C253" s="40" t="n"/>
      <c r="D253" s="40" t="n"/>
      <c r="E253" s="40" t="n"/>
      <c r="F253" s="40" t="n"/>
      <c r="G253" s="55" t="str">
        <f>IF(F253="","",IFERROR(IF(INDEX(Project!$C$24:$C$27,MATCH(F253,Project!$B$24:$B$27,0))="","",INDEX(Project!$C$24:$C$27,MATCH(F253,Project!$B$24:$B$27,0))),""))</f>
        <v/>
      </c>
      <c r="H253" s="40" t="n"/>
      <c r="I253" s="40" t="n"/>
      <c r="J253" s="40" t="n"/>
      <c r="K253" s="40" t="n"/>
      <c r="L253" s="56" t="n"/>
      <c r="M253" s="40" t="n"/>
      <c r="N253" s="57" t="n"/>
      <c r="O253" s="35" t="str">
        <f>IF(OR(L253="",N253=""),"",L253*N253)</f>
        <v/>
      </c>
      <c r="P253" s="43" t="n"/>
      <c r="Q253" s="36" t="str">
        <f>IF(OR(O253="",P253=""),"",O253-P253)</f>
        <v/>
      </c>
      <c r="R253" s="40" t="n"/>
      <c r="S253" s="40" t="n"/>
      <c r="T253" s="58" t="n"/>
      <c r="U253" s="42" t="n"/>
      <c r="V253" s="55" t="str">
        <f>IF(OR(U253="",T253=""),"",U253-T253)</f>
        <v/>
      </c>
      <c r="W253" s="40" t="n"/>
      <c r="X253" s="42" t="n"/>
      <c r="Y253" s="40" t="n"/>
      <c r="Z253" s="32" t="str">
        <f>IF(C253="","",IF(OR(W253="Ordered",W253="Received",W253="Installed"),"Ordered",IF(AND(I253&lt;&gt;"",J253&lt;&gt;"",L253&lt;&gt;"",R253&lt;&gt;"",T253&lt;&gt;"",X253&lt;&gt;""),"READY","Missing: "&amp;_xlfn.TEXTJOIN(", ",TRUE,IF(I253="","model",""),IF(J253="","finish",""),IF(L253="","qty",""),IF(R253="","supplier",""),IF(T253="","lead time",""),IF(X253="","approval","")))))</f>
        <v/>
      </c>
      <c r="AA253" s="54" t="str">
        <f>IF(C253="","",IF(OR(W253="Ordered",W253="Received",W253="Installed"),"",IF(AND(G253&lt;&gt;"",X253="",G253&lt;TODAY()),"DECISION OVERDUE",IF(V253="","",IF(V253&lt;TODAY(),"ORDER OVERDUE",IF(V253-TODAY()&lt;=14,"ORDER SOON",""))))))</f>
        <v/>
      </c>
      <c r="AB253" s="35" t="str">
        <f>IF(Q253="","",IF(AND(X253="",Q253&gt;0),Q253,""))</f>
        <v/>
      </c>
      <c r="AC253" s="59" t="n"/>
      <c r="AD253" s="59" t="n"/>
      <c r="AE253" s="60" t="str">
        <f>IF(AND(C253&lt;&gt;"",B253='Client Sign-Off'!$D$7),COUNTIFS($B$6:B253,'Client Sign-Off'!$D$7,$C$6:C253,"?*"),"")</f>
        <v/>
      </c>
    </row>
    <row r="254" ht="18" customHeight="1">
      <c r="A254" s="54" t="str">
        <f>IF(C254="","",ROW()-5)</f>
        <v/>
      </c>
      <c r="B254" s="40" t="n"/>
      <c r="C254" s="40" t="n"/>
      <c r="D254" s="40" t="n"/>
      <c r="E254" s="40" t="n"/>
      <c r="F254" s="40" t="n"/>
      <c r="G254" s="55" t="str">
        <f>IF(F254="","",IFERROR(IF(INDEX(Project!$C$24:$C$27,MATCH(F254,Project!$B$24:$B$27,0))="","",INDEX(Project!$C$24:$C$27,MATCH(F254,Project!$B$24:$B$27,0))),""))</f>
        <v/>
      </c>
      <c r="H254" s="40" t="n"/>
      <c r="I254" s="40" t="n"/>
      <c r="J254" s="40" t="n"/>
      <c r="K254" s="40" t="n"/>
      <c r="L254" s="56" t="n"/>
      <c r="M254" s="40" t="n"/>
      <c r="N254" s="57" t="n"/>
      <c r="O254" s="35" t="str">
        <f>IF(OR(L254="",N254=""),"",L254*N254)</f>
        <v/>
      </c>
      <c r="P254" s="43" t="n"/>
      <c r="Q254" s="36" t="str">
        <f>IF(OR(O254="",P254=""),"",O254-P254)</f>
        <v/>
      </c>
      <c r="R254" s="40" t="n"/>
      <c r="S254" s="40" t="n"/>
      <c r="T254" s="58" t="n"/>
      <c r="U254" s="42" t="n"/>
      <c r="V254" s="55" t="str">
        <f>IF(OR(U254="",T254=""),"",U254-T254)</f>
        <v/>
      </c>
      <c r="W254" s="40" t="n"/>
      <c r="X254" s="42" t="n"/>
      <c r="Y254" s="40" t="n"/>
      <c r="Z254" s="32" t="str">
        <f>IF(C254="","",IF(OR(W254="Ordered",W254="Received",W254="Installed"),"Ordered",IF(AND(I254&lt;&gt;"",J254&lt;&gt;"",L254&lt;&gt;"",R254&lt;&gt;"",T254&lt;&gt;"",X254&lt;&gt;""),"READY","Missing: "&amp;_xlfn.TEXTJOIN(", ",TRUE,IF(I254="","model",""),IF(J254="","finish",""),IF(L254="","qty",""),IF(R254="","supplier",""),IF(T254="","lead time",""),IF(X254="","approval","")))))</f>
        <v/>
      </c>
      <c r="AA254" s="54" t="str">
        <f>IF(C254="","",IF(OR(W254="Ordered",W254="Received",W254="Installed"),"",IF(AND(G254&lt;&gt;"",X254="",G254&lt;TODAY()),"DECISION OVERDUE",IF(V254="","",IF(V254&lt;TODAY(),"ORDER OVERDUE",IF(V254-TODAY()&lt;=14,"ORDER SOON",""))))))</f>
        <v/>
      </c>
      <c r="AB254" s="35" t="str">
        <f>IF(Q254="","",IF(AND(X254="",Q254&gt;0),Q254,""))</f>
        <v/>
      </c>
      <c r="AC254" s="59" t="n"/>
      <c r="AD254" s="59" t="n"/>
      <c r="AE254" s="60" t="str">
        <f>IF(AND(C254&lt;&gt;"",B254='Client Sign-Off'!$D$7),COUNTIFS($B$6:B254,'Client Sign-Off'!$D$7,$C$6:C254,"?*"),"")</f>
        <v/>
      </c>
    </row>
    <row r="255" ht="18" customHeight="1">
      <c r="A255" s="54" t="str">
        <f>IF(C255="","",ROW()-5)</f>
        <v/>
      </c>
      <c r="B255" s="40" t="n"/>
      <c r="C255" s="40" t="n"/>
      <c r="D255" s="40" t="n"/>
      <c r="E255" s="40" t="n"/>
      <c r="F255" s="40" t="n"/>
      <c r="G255" s="55" t="str">
        <f>IF(F255="","",IFERROR(IF(INDEX(Project!$C$24:$C$27,MATCH(F255,Project!$B$24:$B$27,0))="","",INDEX(Project!$C$24:$C$27,MATCH(F255,Project!$B$24:$B$27,0))),""))</f>
        <v/>
      </c>
      <c r="H255" s="40" t="n"/>
      <c r="I255" s="40" t="n"/>
      <c r="J255" s="40" t="n"/>
      <c r="K255" s="40" t="n"/>
      <c r="L255" s="56" t="n"/>
      <c r="M255" s="40" t="n"/>
      <c r="N255" s="57" t="n"/>
      <c r="O255" s="35" t="str">
        <f>IF(OR(L255="",N255=""),"",L255*N255)</f>
        <v/>
      </c>
      <c r="P255" s="43" t="n"/>
      <c r="Q255" s="36" t="str">
        <f>IF(OR(O255="",P255=""),"",O255-P255)</f>
        <v/>
      </c>
      <c r="R255" s="40" t="n"/>
      <c r="S255" s="40" t="n"/>
      <c r="T255" s="58" t="n"/>
      <c r="U255" s="42" t="n"/>
      <c r="V255" s="55" t="str">
        <f>IF(OR(U255="",T255=""),"",U255-T255)</f>
        <v/>
      </c>
      <c r="W255" s="40" t="n"/>
      <c r="X255" s="42" t="n"/>
      <c r="Y255" s="40" t="n"/>
      <c r="Z255" s="32" t="str">
        <f>IF(C255="","",IF(OR(W255="Ordered",W255="Received",W255="Installed"),"Ordered",IF(AND(I255&lt;&gt;"",J255&lt;&gt;"",L255&lt;&gt;"",R255&lt;&gt;"",T255&lt;&gt;"",X255&lt;&gt;""),"READY","Missing: "&amp;_xlfn.TEXTJOIN(", ",TRUE,IF(I255="","model",""),IF(J255="","finish",""),IF(L255="","qty",""),IF(R255="","supplier",""),IF(T255="","lead time",""),IF(X255="","approval","")))))</f>
        <v/>
      </c>
      <c r="AA255" s="54" t="str">
        <f>IF(C255="","",IF(OR(W255="Ordered",W255="Received",W255="Installed"),"",IF(AND(G255&lt;&gt;"",X255="",G255&lt;TODAY()),"DECISION OVERDUE",IF(V255="","",IF(V255&lt;TODAY(),"ORDER OVERDUE",IF(V255-TODAY()&lt;=14,"ORDER SOON",""))))))</f>
        <v/>
      </c>
      <c r="AB255" s="35" t="str">
        <f>IF(Q255="","",IF(AND(X255="",Q255&gt;0),Q255,""))</f>
        <v/>
      </c>
      <c r="AC255" s="59" t="n"/>
      <c r="AD255" s="59" t="n"/>
      <c r="AE255" s="60" t="str">
        <f>IF(AND(C255&lt;&gt;"",B255='Client Sign-Off'!$D$7),COUNTIFS($B$6:B255,'Client Sign-Off'!$D$7,$C$6:C255,"?*"),"")</f>
        <v/>
      </c>
    </row>
    <row r="256" ht="18" customHeight="1">
      <c r="A256" s="54" t="str">
        <f>IF(C256="","",ROW()-5)</f>
        <v/>
      </c>
      <c r="B256" s="40" t="n"/>
      <c r="C256" s="40" t="n"/>
      <c r="D256" s="40" t="n"/>
      <c r="E256" s="40" t="n"/>
      <c r="F256" s="40" t="n"/>
      <c r="G256" s="55" t="str">
        <f>IF(F256="","",IFERROR(IF(INDEX(Project!$C$24:$C$27,MATCH(F256,Project!$B$24:$B$27,0))="","",INDEX(Project!$C$24:$C$27,MATCH(F256,Project!$B$24:$B$27,0))),""))</f>
        <v/>
      </c>
      <c r="H256" s="40" t="n"/>
      <c r="I256" s="40" t="n"/>
      <c r="J256" s="40" t="n"/>
      <c r="K256" s="40" t="n"/>
      <c r="L256" s="56" t="n"/>
      <c r="M256" s="40" t="n"/>
      <c r="N256" s="57" t="n"/>
      <c r="O256" s="35" t="str">
        <f>IF(OR(L256="",N256=""),"",L256*N256)</f>
        <v/>
      </c>
      <c r="P256" s="43" t="n"/>
      <c r="Q256" s="36" t="str">
        <f>IF(OR(O256="",P256=""),"",O256-P256)</f>
        <v/>
      </c>
      <c r="R256" s="40" t="n"/>
      <c r="S256" s="40" t="n"/>
      <c r="T256" s="58" t="n"/>
      <c r="U256" s="42" t="n"/>
      <c r="V256" s="55" t="str">
        <f>IF(OR(U256="",T256=""),"",U256-T256)</f>
        <v/>
      </c>
      <c r="W256" s="40" t="n"/>
      <c r="X256" s="42" t="n"/>
      <c r="Y256" s="40" t="n"/>
      <c r="Z256" s="32" t="str">
        <f>IF(C256="","",IF(OR(W256="Ordered",W256="Received",W256="Installed"),"Ordered",IF(AND(I256&lt;&gt;"",J256&lt;&gt;"",L256&lt;&gt;"",R256&lt;&gt;"",T256&lt;&gt;"",X256&lt;&gt;""),"READY","Missing: "&amp;_xlfn.TEXTJOIN(", ",TRUE,IF(I256="","model",""),IF(J256="","finish",""),IF(L256="","qty",""),IF(R256="","supplier",""),IF(T256="","lead time",""),IF(X256="","approval","")))))</f>
        <v/>
      </c>
      <c r="AA256" s="54" t="str">
        <f>IF(C256="","",IF(OR(W256="Ordered",W256="Received",W256="Installed"),"",IF(AND(G256&lt;&gt;"",X256="",G256&lt;TODAY()),"DECISION OVERDUE",IF(V256="","",IF(V256&lt;TODAY(),"ORDER OVERDUE",IF(V256-TODAY()&lt;=14,"ORDER SOON",""))))))</f>
        <v/>
      </c>
      <c r="AB256" s="35" t="str">
        <f>IF(Q256="","",IF(AND(X256="",Q256&gt;0),Q256,""))</f>
        <v/>
      </c>
      <c r="AC256" s="59" t="n"/>
      <c r="AD256" s="59" t="n"/>
      <c r="AE256" s="60" t="str">
        <f>IF(AND(C256&lt;&gt;"",B256='Client Sign-Off'!$D$7),COUNTIFS($B$6:B256,'Client Sign-Off'!$D$7,$C$6:C256,"?*"),"")</f>
        <v/>
      </c>
    </row>
    <row r="257" ht="18" customHeight="1">
      <c r="A257" s="54" t="str">
        <f>IF(C257="","",ROW()-5)</f>
        <v/>
      </c>
      <c r="B257" s="40" t="n"/>
      <c r="C257" s="40" t="n"/>
      <c r="D257" s="40" t="n"/>
      <c r="E257" s="40" t="n"/>
      <c r="F257" s="40" t="n"/>
      <c r="G257" s="55" t="str">
        <f>IF(F257="","",IFERROR(IF(INDEX(Project!$C$24:$C$27,MATCH(F257,Project!$B$24:$B$27,0))="","",INDEX(Project!$C$24:$C$27,MATCH(F257,Project!$B$24:$B$27,0))),""))</f>
        <v/>
      </c>
      <c r="H257" s="40" t="n"/>
      <c r="I257" s="40" t="n"/>
      <c r="J257" s="40" t="n"/>
      <c r="K257" s="40" t="n"/>
      <c r="L257" s="56" t="n"/>
      <c r="M257" s="40" t="n"/>
      <c r="N257" s="57" t="n"/>
      <c r="O257" s="35" t="str">
        <f>IF(OR(L257="",N257=""),"",L257*N257)</f>
        <v/>
      </c>
      <c r="P257" s="43" t="n"/>
      <c r="Q257" s="36" t="str">
        <f>IF(OR(O257="",P257=""),"",O257-P257)</f>
        <v/>
      </c>
      <c r="R257" s="40" t="n"/>
      <c r="S257" s="40" t="n"/>
      <c r="T257" s="58" t="n"/>
      <c r="U257" s="42" t="n"/>
      <c r="V257" s="55" t="str">
        <f>IF(OR(U257="",T257=""),"",U257-T257)</f>
        <v/>
      </c>
      <c r="W257" s="40" t="n"/>
      <c r="X257" s="42" t="n"/>
      <c r="Y257" s="40" t="n"/>
      <c r="Z257" s="32" t="str">
        <f>IF(C257="","",IF(OR(W257="Ordered",W257="Received",W257="Installed"),"Ordered",IF(AND(I257&lt;&gt;"",J257&lt;&gt;"",L257&lt;&gt;"",R257&lt;&gt;"",T257&lt;&gt;"",X257&lt;&gt;""),"READY","Missing: "&amp;_xlfn.TEXTJOIN(", ",TRUE,IF(I257="","model",""),IF(J257="","finish",""),IF(L257="","qty",""),IF(R257="","supplier",""),IF(T257="","lead time",""),IF(X257="","approval","")))))</f>
        <v/>
      </c>
      <c r="AA257" s="54" t="str">
        <f>IF(C257="","",IF(OR(W257="Ordered",W257="Received",W257="Installed"),"",IF(AND(G257&lt;&gt;"",X257="",G257&lt;TODAY()),"DECISION OVERDUE",IF(V257="","",IF(V257&lt;TODAY(),"ORDER OVERDUE",IF(V257-TODAY()&lt;=14,"ORDER SOON",""))))))</f>
        <v/>
      </c>
      <c r="AB257" s="35" t="str">
        <f>IF(Q257="","",IF(AND(X257="",Q257&gt;0),Q257,""))</f>
        <v/>
      </c>
      <c r="AC257" s="59" t="n"/>
      <c r="AD257" s="59" t="n"/>
      <c r="AE257" s="60" t="str">
        <f>IF(AND(C257&lt;&gt;"",B257='Client Sign-Off'!$D$7),COUNTIFS($B$6:B257,'Client Sign-Off'!$D$7,$C$6:C257,"?*"),"")</f>
        <v/>
      </c>
    </row>
    <row r="258" ht="18" customHeight="1">
      <c r="A258" s="54" t="str">
        <f>IF(C258="","",ROW()-5)</f>
        <v/>
      </c>
      <c r="B258" s="40" t="n"/>
      <c r="C258" s="40" t="n"/>
      <c r="D258" s="40" t="n"/>
      <c r="E258" s="40" t="n"/>
      <c r="F258" s="40" t="n"/>
      <c r="G258" s="55" t="str">
        <f>IF(F258="","",IFERROR(IF(INDEX(Project!$C$24:$C$27,MATCH(F258,Project!$B$24:$B$27,0))="","",INDEX(Project!$C$24:$C$27,MATCH(F258,Project!$B$24:$B$27,0))),""))</f>
        <v/>
      </c>
      <c r="H258" s="40" t="n"/>
      <c r="I258" s="40" t="n"/>
      <c r="J258" s="40" t="n"/>
      <c r="K258" s="40" t="n"/>
      <c r="L258" s="56" t="n"/>
      <c r="M258" s="40" t="n"/>
      <c r="N258" s="57" t="n"/>
      <c r="O258" s="35" t="str">
        <f>IF(OR(L258="",N258=""),"",L258*N258)</f>
        <v/>
      </c>
      <c r="P258" s="43" t="n"/>
      <c r="Q258" s="36" t="str">
        <f>IF(OR(O258="",P258=""),"",O258-P258)</f>
        <v/>
      </c>
      <c r="R258" s="40" t="n"/>
      <c r="S258" s="40" t="n"/>
      <c r="T258" s="58" t="n"/>
      <c r="U258" s="42" t="n"/>
      <c r="V258" s="55" t="str">
        <f>IF(OR(U258="",T258=""),"",U258-T258)</f>
        <v/>
      </c>
      <c r="W258" s="40" t="n"/>
      <c r="X258" s="42" t="n"/>
      <c r="Y258" s="40" t="n"/>
      <c r="Z258" s="32" t="str">
        <f>IF(C258="","",IF(OR(W258="Ordered",W258="Received",W258="Installed"),"Ordered",IF(AND(I258&lt;&gt;"",J258&lt;&gt;"",L258&lt;&gt;"",R258&lt;&gt;"",T258&lt;&gt;"",X258&lt;&gt;""),"READY","Missing: "&amp;_xlfn.TEXTJOIN(", ",TRUE,IF(I258="","model",""),IF(J258="","finish",""),IF(L258="","qty",""),IF(R258="","supplier",""),IF(T258="","lead time",""),IF(X258="","approval","")))))</f>
        <v/>
      </c>
      <c r="AA258" s="54" t="str">
        <f>IF(C258="","",IF(OR(W258="Ordered",W258="Received",W258="Installed"),"",IF(AND(G258&lt;&gt;"",X258="",G258&lt;TODAY()),"DECISION OVERDUE",IF(V258="","",IF(V258&lt;TODAY(),"ORDER OVERDUE",IF(V258-TODAY()&lt;=14,"ORDER SOON",""))))))</f>
        <v/>
      </c>
      <c r="AB258" s="35" t="str">
        <f>IF(Q258="","",IF(AND(X258="",Q258&gt;0),Q258,""))</f>
        <v/>
      </c>
      <c r="AC258" s="59" t="n"/>
      <c r="AD258" s="59" t="n"/>
      <c r="AE258" s="60" t="str">
        <f>IF(AND(C258&lt;&gt;"",B258='Client Sign-Off'!$D$7),COUNTIFS($B$6:B258,'Client Sign-Off'!$D$7,$C$6:C258,"?*"),"")</f>
        <v/>
      </c>
    </row>
    <row r="259" ht="18" customHeight="1">
      <c r="A259" s="54" t="str">
        <f>IF(C259="","",ROW()-5)</f>
        <v/>
      </c>
      <c r="B259" s="40" t="n"/>
      <c r="C259" s="40" t="n"/>
      <c r="D259" s="40" t="n"/>
      <c r="E259" s="40" t="n"/>
      <c r="F259" s="40" t="n"/>
      <c r="G259" s="55" t="str">
        <f>IF(F259="","",IFERROR(IF(INDEX(Project!$C$24:$C$27,MATCH(F259,Project!$B$24:$B$27,0))="","",INDEX(Project!$C$24:$C$27,MATCH(F259,Project!$B$24:$B$27,0))),""))</f>
        <v/>
      </c>
      <c r="H259" s="40" t="n"/>
      <c r="I259" s="40" t="n"/>
      <c r="J259" s="40" t="n"/>
      <c r="K259" s="40" t="n"/>
      <c r="L259" s="56" t="n"/>
      <c r="M259" s="40" t="n"/>
      <c r="N259" s="57" t="n"/>
      <c r="O259" s="35" t="str">
        <f>IF(OR(L259="",N259=""),"",L259*N259)</f>
        <v/>
      </c>
      <c r="P259" s="43" t="n"/>
      <c r="Q259" s="36" t="str">
        <f>IF(OR(O259="",P259=""),"",O259-P259)</f>
        <v/>
      </c>
      <c r="R259" s="40" t="n"/>
      <c r="S259" s="40" t="n"/>
      <c r="T259" s="58" t="n"/>
      <c r="U259" s="42" t="n"/>
      <c r="V259" s="55" t="str">
        <f>IF(OR(U259="",T259=""),"",U259-T259)</f>
        <v/>
      </c>
      <c r="W259" s="40" t="n"/>
      <c r="X259" s="42" t="n"/>
      <c r="Y259" s="40" t="n"/>
      <c r="Z259" s="32" t="str">
        <f>IF(C259="","",IF(OR(W259="Ordered",W259="Received",W259="Installed"),"Ordered",IF(AND(I259&lt;&gt;"",J259&lt;&gt;"",L259&lt;&gt;"",R259&lt;&gt;"",T259&lt;&gt;"",X259&lt;&gt;""),"READY","Missing: "&amp;_xlfn.TEXTJOIN(", ",TRUE,IF(I259="","model",""),IF(J259="","finish",""),IF(L259="","qty",""),IF(R259="","supplier",""),IF(T259="","lead time",""),IF(X259="","approval","")))))</f>
        <v/>
      </c>
      <c r="AA259" s="54" t="str">
        <f>IF(C259="","",IF(OR(W259="Ordered",W259="Received",W259="Installed"),"",IF(AND(G259&lt;&gt;"",X259="",G259&lt;TODAY()),"DECISION OVERDUE",IF(V259="","",IF(V259&lt;TODAY(),"ORDER OVERDUE",IF(V259-TODAY()&lt;=14,"ORDER SOON",""))))))</f>
        <v/>
      </c>
      <c r="AB259" s="35" t="str">
        <f>IF(Q259="","",IF(AND(X259="",Q259&gt;0),Q259,""))</f>
        <v/>
      </c>
      <c r="AC259" s="59" t="n"/>
      <c r="AD259" s="59" t="n"/>
      <c r="AE259" s="60" t="str">
        <f>IF(AND(C259&lt;&gt;"",B259='Client Sign-Off'!$D$7),COUNTIFS($B$6:B259,'Client Sign-Off'!$D$7,$C$6:C259,"?*"),"")</f>
        <v/>
      </c>
    </row>
    <row r="260" ht="18" customHeight="1">
      <c r="A260" s="54" t="str">
        <f>IF(C260="","",ROW()-5)</f>
        <v/>
      </c>
      <c r="B260" s="40" t="n"/>
      <c r="C260" s="40" t="n"/>
      <c r="D260" s="40" t="n"/>
      <c r="E260" s="40" t="n"/>
      <c r="F260" s="40" t="n"/>
      <c r="G260" s="55" t="str">
        <f>IF(F260="","",IFERROR(IF(INDEX(Project!$C$24:$C$27,MATCH(F260,Project!$B$24:$B$27,0))="","",INDEX(Project!$C$24:$C$27,MATCH(F260,Project!$B$24:$B$27,0))),""))</f>
        <v/>
      </c>
      <c r="H260" s="40" t="n"/>
      <c r="I260" s="40" t="n"/>
      <c r="J260" s="40" t="n"/>
      <c r="K260" s="40" t="n"/>
      <c r="L260" s="56" t="n"/>
      <c r="M260" s="40" t="n"/>
      <c r="N260" s="57" t="n"/>
      <c r="O260" s="35" t="str">
        <f>IF(OR(L260="",N260=""),"",L260*N260)</f>
        <v/>
      </c>
      <c r="P260" s="43" t="n"/>
      <c r="Q260" s="36" t="str">
        <f>IF(OR(O260="",P260=""),"",O260-P260)</f>
        <v/>
      </c>
      <c r="R260" s="40" t="n"/>
      <c r="S260" s="40" t="n"/>
      <c r="T260" s="58" t="n"/>
      <c r="U260" s="42" t="n"/>
      <c r="V260" s="55" t="str">
        <f>IF(OR(U260="",T260=""),"",U260-T260)</f>
        <v/>
      </c>
      <c r="W260" s="40" t="n"/>
      <c r="X260" s="42" t="n"/>
      <c r="Y260" s="40" t="n"/>
      <c r="Z260" s="32" t="str">
        <f>IF(C260="","",IF(OR(W260="Ordered",W260="Received",W260="Installed"),"Ordered",IF(AND(I260&lt;&gt;"",J260&lt;&gt;"",L260&lt;&gt;"",R260&lt;&gt;"",T260&lt;&gt;"",X260&lt;&gt;""),"READY","Missing: "&amp;_xlfn.TEXTJOIN(", ",TRUE,IF(I260="","model",""),IF(J260="","finish",""),IF(L260="","qty",""),IF(R260="","supplier",""),IF(T260="","lead time",""),IF(X260="","approval","")))))</f>
        <v/>
      </c>
      <c r="AA260" s="54" t="str">
        <f>IF(C260="","",IF(OR(W260="Ordered",W260="Received",W260="Installed"),"",IF(AND(G260&lt;&gt;"",X260="",G260&lt;TODAY()),"DECISION OVERDUE",IF(V260="","",IF(V260&lt;TODAY(),"ORDER OVERDUE",IF(V260-TODAY()&lt;=14,"ORDER SOON",""))))))</f>
        <v/>
      </c>
      <c r="AB260" s="35" t="str">
        <f>IF(Q260="","",IF(AND(X260="",Q260&gt;0),Q260,""))</f>
        <v/>
      </c>
      <c r="AC260" s="59" t="n"/>
      <c r="AD260" s="59" t="n"/>
      <c r="AE260" s="60" t="str">
        <f>IF(AND(C260&lt;&gt;"",B260='Client Sign-Off'!$D$7),COUNTIFS($B$6:B260,'Client Sign-Off'!$D$7,$C$6:C260,"?*"),"")</f>
        <v/>
      </c>
    </row>
    <row r="261" ht="18" customHeight="1">
      <c r="A261" s="54" t="str">
        <f>IF(C261="","",ROW()-5)</f>
        <v/>
      </c>
      <c r="B261" s="40" t="n"/>
      <c r="C261" s="40" t="n"/>
      <c r="D261" s="40" t="n"/>
      <c r="E261" s="40" t="n"/>
      <c r="F261" s="40" t="n"/>
      <c r="G261" s="55" t="str">
        <f>IF(F261="","",IFERROR(IF(INDEX(Project!$C$24:$C$27,MATCH(F261,Project!$B$24:$B$27,0))="","",INDEX(Project!$C$24:$C$27,MATCH(F261,Project!$B$24:$B$27,0))),""))</f>
        <v/>
      </c>
      <c r="H261" s="40" t="n"/>
      <c r="I261" s="40" t="n"/>
      <c r="J261" s="40" t="n"/>
      <c r="K261" s="40" t="n"/>
      <c r="L261" s="56" t="n"/>
      <c r="M261" s="40" t="n"/>
      <c r="N261" s="57" t="n"/>
      <c r="O261" s="35" t="str">
        <f>IF(OR(L261="",N261=""),"",L261*N261)</f>
        <v/>
      </c>
      <c r="P261" s="43" t="n"/>
      <c r="Q261" s="36" t="str">
        <f>IF(OR(O261="",P261=""),"",O261-P261)</f>
        <v/>
      </c>
      <c r="R261" s="40" t="n"/>
      <c r="S261" s="40" t="n"/>
      <c r="T261" s="58" t="n"/>
      <c r="U261" s="42" t="n"/>
      <c r="V261" s="55" t="str">
        <f>IF(OR(U261="",T261=""),"",U261-T261)</f>
        <v/>
      </c>
      <c r="W261" s="40" t="n"/>
      <c r="X261" s="42" t="n"/>
      <c r="Y261" s="40" t="n"/>
      <c r="Z261" s="32" t="str">
        <f>IF(C261="","",IF(OR(W261="Ordered",W261="Received",W261="Installed"),"Ordered",IF(AND(I261&lt;&gt;"",J261&lt;&gt;"",L261&lt;&gt;"",R261&lt;&gt;"",T261&lt;&gt;"",X261&lt;&gt;""),"READY","Missing: "&amp;_xlfn.TEXTJOIN(", ",TRUE,IF(I261="","model",""),IF(J261="","finish",""),IF(L261="","qty",""),IF(R261="","supplier",""),IF(T261="","lead time",""),IF(X261="","approval","")))))</f>
        <v/>
      </c>
      <c r="AA261" s="54" t="str">
        <f>IF(C261="","",IF(OR(W261="Ordered",W261="Received",W261="Installed"),"",IF(AND(G261&lt;&gt;"",X261="",G261&lt;TODAY()),"DECISION OVERDUE",IF(V261="","",IF(V261&lt;TODAY(),"ORDER OVERDUE",IF(V261-TODAY()&lt;=14,"ORDER SOON",""))))))</f>
        <v/>
      </c>
      <c r="AB261" s="35" t="str">
        <f>IF(Q261="","",IF(AND(X261="",Q261&gt;0),Q261,""))</f>
        <v/>
      </c>
      <c r="AC261" s="59" t="n"/>
      <c r="AD261" s="59" t="n"/>
      <c r="AE261" s="60" t="str">
        <f>IF(AND(C261&lt;&gt;"",B261='Client Sign-Off'!$D$7),COUNTIFS($B$6:B261,'Client Sign-Off'!$D$7,$C$6:C261,"?*"),"")</f>
        <v/>
      </c>
    </row>
    <row r="262" ht="18" customHeight="1">
      <c r="A262" s="54" t="str">
        <f>IF(C262="","",ROW()-5)</f>
        <v/>
      </c>
      <c r="B262" s="40" t="n"/>
      <c r="C262" s="40" t="n"/>
      <c r="D262" s="40" t="n"/>
      <c r="E262" s="40" t="n"/>
      <c r="F262" s="40" t="n"/>
      <c r="G262" s="55" t="str">
        <f>IF(F262="","",IFERROR(IF(INDEX(Project!$C$24:$C$27,MATCH(F262,Project!$B$24:$B$27,0))="","",INDEX(Project!$C$24:$C$27,MATCH(F262,Project!$B$24:$B$27,0))),""))</f>
        <v/>
      </c>
      <c r="H262" s="40" t="n"/>
      <c r="I262" s="40" t="n"/>
      <c r="J262" s="40" t="n"/>
      <c r="K262" s="40" t="n"/>
      <c r="L262" s="56" t="n"/>
      <c r="M262" s="40" t="n"/>
      <c r="N262" s="57" t="n"/>
      <c r="O262" s="35" t="str">
        <f>IF(OR(L262="",N262=""),"",L262*N262)</f>
        <v/>
      </c>
      <c r="P262" s="43" t="n"/>
      <c r="Q262" s="36" t="str">
        <f>IF(OR(O262="",P262=""),"",O262-P262)</f>
        <v/>
      </c>
      <c r="R262" s="40" t="n"/>
      <c r="S262" s="40" t="n"/>
      <c r="T262" s="58" t="n"/>
      <c r="U262" s="42" t="n"/>
      <c r="V262" s="55" t="str">
        <f>IF(OR(U262="",T262=""),"",U262-T262)</f>
        <v/>
      </c>
      <c r="W262" s="40" t="n"/>
      <c r="X262" s="42" t="n"/>
      <c r="Y262" s="40" t="n"/>
      <c r="Z262" s="32" t="str">
        <f>IF(C262="","",IF(OR(W262="Ordered",W262="Received",W262="Installed"),"Ordered",IF(AND(I262&lt;&gt;"",J262&lt;&gt;"",L262&lt;&gt;"",R262&lt;&gt;"",T262&lt;&gt;"",X262&lt;&gt;""),"READY","Missing: "&amp;_xlfn.TEXTJOIN(", ",TRUE,IF(I262="","model",""),IF(J262="","finish",""),IF(L262="","qty",""),IF(R262="","supplier",""),IF(T262="","lead time",""),IF(X262="","approval","")))))</f>
        <v/>
      </c>
      <c r="AA262" s="54" t="str">
        <f>IF(C262="","",IF(OR(W262="Ordered",W262="Received",W262="Installed"),"",IF(AND(G262&lt;&gt;"",X262="",G262&lt;TODAY()),"DECISION OVERDUE",IF(V262="","",IF(V262&lt;TODAY(),"ORDER OVERDUE",IF(V262-TODAY()&lt;=14,"ORDER SOON",""))))))</f>
        <v/>
      </c>
      <c r="AB262" s="35" t="str">
        <f>IF(Q262="","",IF(AND(X262="",Q262&gt;0),Q262,""))</f>
        <v/>
      </c>
      <c r="AC262" s="59" t="n"/>
      <c r="AD262" s="59" t="n"/>
      <c r="AE262" s="60" t="str">
        <f>IF(AND(C262&lt;&gt;"",B262='Client Sign-Off'!$D$7),COUNTIFS($B$6:B262,'Client Sign-Off'!$D$7,$C$6:C262,"?*"),"")</f>
        <v/>
      </c>
    </row>
    <row r="263" ht="18" customHeight="1">
      <c r="A263" s="54" t="str">
        <f>IF(C263="","",ROW()-5)</f>
        <v/>
      </c>
      <c r="B263" s="40" t="n"/>
      <c r="C263" s="40" t="n"/>
      <c r="D263" s="40" t="n"/>
      <c r="E263" s="40" t="n"/>
      <c r="F263" s="40" t="n"/>
      <c r="G263" s="55" t="str">
        <f>IF(F263="","",IFERROR(IF(INDEX(Project!$C$24:$C$27,MATCH(F263,Project!$B$24:$B$27,0))="","",INDEX(Project!$C$24:$C$27,MATCH(F263,Project!$B$24:$B$27,0))),""))</f>
        <v/>
      </c>
      <c r="H263" s="40" t="n"/>
      <c r="I263" s="40" t="n"/>
      <c r="J263" s="40" t="n"/>
      <c r="K263" s="40" t="n"/>
      <c r="L263" s="56" t="n"/>
      <c r="M263" s="40" t="n"/>
      <c r="N263" s="57" t="n"/>
      <c r="O263" s="35" t="str">
        <f>IF(OR(L263="",N263=""),"",L263*N263)</f>
        <v/>
      </c>
      <c r="P263" s="43" t="n"/>
      <c r="Q263" s="36" t="str">
        <f>IF(OR(O263="",P263=""),"",O263-P263)</f>
        <v/>
      </c>
      <c r="R263" s="40" t="n"/>
      <c r="S263" s="40" t="n"/>
      <c r="T263" s="58" t="n"/>
      <c r="U263" s="42" t="n"/>
      <c r="V263" s="55" t="str">
        <f>IF(OR(U263="",T263=""),"",U263-T263)</f>
        <v/>
      </c>
      <c r="W263" s="40" t="n"/>
      <c r="X263" s="42" t="n"/>
      <c r="Y263" s="40" t="n"/>
      <c r="Z263" s="32" t="str">
        <f>IF(C263="","",IF(OR(W263="Ordered",W263="Received",W263="Installed"),"Ordered",IF(AND(I263&lt;&gt;"",J263&lt;&gt;"",L263&lt;&gt;"",R263&lt;&gt;"",T263&lt;&gt;"",X263&lt;&gt;""),"READY","Missing: "&amp;_xlfn.TEXTJOIN(", ",TRUE,IF(I263="","model",""),IF(J263="","finish",""),IF(L263="","qty",""),IF(R263="","supplier",""),IF(T263="","lead time",""),IF(X263="","approval","")))))</f>
        <v/>
      </c>
      <c r="AA263" s="54" t="str">
        <f>IF(C263="","",IF(OR(W263="Ordered",W263="Received",W263="Installed"),"",IF(AND(G263&lt;&gt;"",X263="",G263&lt;TODAY()),"DECISION OVERDUE",IF(V263="","",IF(V263&lt;TODAY(),"ORDER OVERDUE",IF(V263-TODAY()&lt;=14,"ORDER SOON",""))))))</f>
        <v/>
      </c>
      <c r="AB263" s="35" t="str">
        <f>IF(Q263="","",IF(AND(X263="",Q263&gt;0),Q263,""))</f>
        <v/>
      </c>
      <c r="AC263" s="59" t="n"/>
      <c r="AD263" s="59" t="n"/>
      <c r="AE263" s="60" t="str">
        <f>IF(AND(C263&lt;&gt;"",B263='Client Sign-Off'!$D$7),COUNTIFS($B$6:B263,'Client Sign-Off'!$D$7,$C$6:C263,"?*"),"")</f>
        <v/>
      </c>
    </row>
    <row r="264" ht="18" customHeight="1">
      <c r="A264" s="54" t="str">
        <f>IF(C264="","",ROW()-5)</f>
        <v/>
      </c>
      <c r="B264" s="40" t="n"/>
      <c r="C264" s="40" t="n"/>
      <c r="D264" s="40" t="n"/>
      <c r="E264" s="40" t="n"/>
      <c r="F264" s="40" t="n"/>
      <c r="G264" s="55" t="str">
        <f>IF(F264="","",IFERROR(IF(INDEX(Project!$C$24:$C$27,MATCH(F264,Project!$B$24:$B$27,0))="","",INDEX(Project!$C$24:$C$27,MATCH(F264,Project!$B$24:$B$27,0))),""))</f>
        <v/>
      </c>
      <c r="H264" s="40" t="n"/>
      <c r="I264" s="40" t="n"/>
      <c r="J264" s="40" t="n"/>
      <c r="K264" s="40" t="n"/>
      <c r="L264" s="56" t="n"/>
      <c r="M264" s="40" t="n"/>
      <c r="N264" s="57" t="n"/>
      <c r="O264" s="35" t="str">
        <f>IF(OR(L264="",N264=""),"",L264*N264)</f>
        <v/>
      </c>
      <c r="P264" s="43" t="n"/>
      <c r="Q264" s="36" t="str">
        <f>IF(OR(O264="",P264=""),"",O264-P264)</f>
        <v/>
      </c>
      <c r="R264" s="40" t="n"/>
      <c r="S264" s="40" t="n"/>
      <c r="T264" s="58" t="n"/>
      <c r="U264" s="42" t="n"/>
      <c r="V264" s="55" t="str">
        <f>IF(OR(U264="",T264=""),"",U264-T264)</f>
        <v/>
      </c>
      <c r="W264" s="40" t="n"/>
      <c r="X264" s="42" t="n"/>
      <c r="Y264" s="40" t="n"/>
      <c r="Z264" s="32" t="str">
        <f>IF(C264="","",IF(OR(W264="Ordered",W264="Received",W264="Installed"),"Ordered",IF(AND(I264&lt;&gt;"",J264&lt;&gt;"",L264&lt;&gt;"",R264&lt;&gt;"",T264&lt;&gt;"",X264&lt;&gt;""),"READY","Missing: "&amp;_xlfn.TEXTJOIN(", ",TRUE,IF(I264="","model",""),IF(J264="","finish",""),IF(L264="","qty",""),IF(R264="","supplier",""),IF(T264="","lead time",""),IF(X264="","approval","")))))</f>
        <v/>
      </c>
      <c r="AA264" s="54" t="str">
        <f>IF(C264="","",IF(OR(W264="Ordered",W264="Received",W264="Installed"),"",IF(AND(G264&lt;&gt;"",X264="",G264&lt;TODAY()),"DECISION OVERDUE",IF(V264="","",IF(V264&lt;TODAY(),"ORDER OVERDUE",IF(V264-TODAY()&lt;=14,"ORDER SOON",""))))))</f>
        <v/>
      </c>
      <c r="AB264" s="35" t="str">
        <f>IF(Q264="","",IF(AND(X264="",Q264&gt;0),Q264,""))</f>
        <v/>
      </c>
      <c r="AC264" s="59" t="n"/>
      <c r="AD264" s="59" t="n"/>
      <c r="AE264" s="60" t="str">
        <f>IF(AND(C264&lt;&gt;"",B264='Client Sign-Off'!$D$7),COUNTIFS($B$6:B264,'Client Sign-Off'!$D$7,$C$6:C264,"?*"),"")</f>
        <v/>
      </c>
    </row>
    <row r="265" ht="18" customHeight="1">
      <c r="A265" s="54" t="str">
        <f>IF(C265="","",ROW()-5)</f>
        <v/>
      </c>
      <c r="B265" s="40" t="n"/>
      <c r="C265" s="40" t="n"/>
      <c r="D265" s="40" t="n"/>
      <c r="E265" s="40" t="n"/>
      <c r="F265" s="40" t="n"/>
      <c r="G265" s="55" t="str">
        <f>IF(F265="","",IFERROR(IF(INDEX(Project!$C$24:$C$27,MATCH(F265,Project!$B$24:$B$27,0))="","",INDEX(Project!$C$24:$C$27,MATCH(F265,Project!$B$24:$B$27,0))),""))</f>
        <v/>
      </c>
      <c r="H265" s="40" t="n"/>
      <c r="I265" s="40" t="n"/>
      <c r="J265" s="40" t="n"/>
      <c r="K265" s="40" t="n"/>
      <c r="L265" s="56" t="n"/>
      <c r="M265" s="40" t="n"/>
      <c r="N265" s="57" t="n"/>
      <c r="O265" s="35" t="str">
        <f>IF(OR(L265="",N265=""),"",L265*N265)</f>
        <v/>
      </c>
      <c r="P265" s="43" t="n"/>
      <c r="Q265" s="36" t="str">
        <f>IF(OR(O265="",P265=""),"",O265-P265)</f>
        <v/>
      </c>
      <c r="R265" s="40" t="n"/>
      <c r="S265" s="40" t="n"/>
      <c r="T265" s="58" t="n"/>
      <c r="U265" s="42" t="n"/>
      <c r="V265" s="55" t="str">
        <f>IF(OR(U265="",T265=""),"",U265-T265)</f>
        <v/>
      </c>
      <c r="W265" s="40" t="n"/>
      <c r="X265" s="42" t="n"/>
      <c r="Y265" s="40" t="n"/>
      <c r="Z265" s="32" t="str">
        <f>IF(C265="","",IF(OR(W265="Ordered",W265="Received",W265="Installed"),"Ordered",IF(AND(I265&lt;&gt;"",J265&lt;&gt;"",L265&lt;&gt;"",R265&lt;&gt;"",T265&lt;&gt;"",X265&lt;&gt;""),"READY","Missing: "&amp;_xlfn.TEXTJOIN(", ",TRUE,IF(I265="","model",""),IF(J265="","finish",""),IF(L265="","qty",""),IF(R265="","supplier",""),IF(T265="","lead time",""),IF(X265="","approval","")))))</f>
        <v/>
      </c>
      <c r="AA265" s="54" t="str">
        <f>IF(C265="","",IF(OR(W265="Ordered",W265="Received",W265="Installed"),"",IF(AND(G265&lt;&gt;"",X265="",G265&lt;TODAY()),"DECISION OVERDUE",IF(V265="","",IF(V265&lt;TODAY(),"ORDER OVERDUE",IF(V265-TODAY()&lt;=14,"ORDER SOON",""))))))</f>
        <v/>
      </c>
      <c r="AB265" s="35" t="str">
        <f>IF(Q265="","",IF(AND(X265="",Q265&gt;0),Q265,""))</f>
        <v/>
      </c>
      <c r="AC265" s="59" t="n"/>
      <c r="AD265" s="59" t="n"/>
      <c r="AE265" s="60" t="str">
        <f>IF(AND(C265&lt;&gt;"",B265='Client Sign-Off'!$D$7),COUNTIFS($B$6:B265,'Client Sign-Off'!$D$7,$C$6:C265,"?*"),"")</f>
        <v/>
      </c>
    </row>
    <row r="266" ht="18" customHeight="1">
      <c r="A266" s="54" t="str">
        <f>IF(C266="","",ROW()-5)</f>
        <v/>
      </c>
      <c r="B266" s="40" t="n"/>
      <c r="C266" s="40" t="n"/>
      <c r="D266" s="40" t="n"/>
      <c r="E266" s="40" t="n"/>
      <c r="F266" s="40" t="n"/>
      <c r="G266" s="55" t="str">
        <f>IF(F266="","",IFERROR(IF(INDEX(Project!$C$24:$C$27,MATCH(F266,Project!$B$24:$B$27,0))="","",INDEX(Project!$C$24:$C$27,MATCH(F266,Project!$B$24:$B$27,0))),""))</f>
        <v/>
      </c>
      <c r="H266" s="40" t="n"/>
      <c r="I266" s="40" t="n"/>
      <c r="J266" s="40" t="n"/>
      <c r="K266" s="40" t="n"/>
      <c r="L266" s="56" t="n"/>
      <c r="M266" s="40" t="n"/>
      <c r="N266" s="57" t="n"/>
      <c r="O266" s="35" t="str">
        <f>IF(OR(L266="",N266=""),"",L266*N266)</f>
        <v/>
      </c>
      <c r="P266" s="43" t="n"/>
      <c r="Q266" s="36" t="str">
        <f>IF(OR(O266="",P266=""),"",O266-P266)</f>
        <v/>
      </c>
      <c r="R266" s="40" t="n"/>
      <c r="S266" s="40" t="n"/>
      <c r="T266" s="58" t="n"/>
      <c r="U266" s="42" t="n"/>
      <c r="V266" s="55" t="str">
        <f>IF(OR(U266="",T266=""),"",U266-T266)</f>
        <v/>
      </c>
      <c r="W266" s="40" t="n"/>
      <c r="X266" s="42" t="n"/>
      <c r="Y266" s="40" t="n"/>
      <c r="Z266" s="32" t="str">
        <f>IF(C266="","",IF(OR(W266="Ordered",W266="Received",W266="Installed"),"Ordered",IF(AND(I266&lt;&gt;"",J266&lt;&gt;"",L266&lt;&gt;"",R266&lt;&gt;"",T266&lt;&gt;"",X266&lt;&gt;""),"READY","Missing: "&amp;_xlfn.TEXTJOIN(", ",TRUE,IF(I266="","model",""),IF(J266="","finish",""),IF(L266="","qty",""),IF(R266="","supplier",""),IF(T266="","lead time",""),IF(X266="","approval","")))))</f>
        <v/>
      </c>
      <c r="AA266" s="54" t="str">
        <f>IF(C266="","",IF(OR(W266="Ordered",W266="Received",W266="Installed"),"",IF(AND(G266&lt;&gt;"",X266="",G266&lt;TODAY()),"DECISION OVERDUE",IF(V266="","",IF(V266&lt;TODAY(),"ORDER OVERDUE",IF(V266-TODAY()&lt;=14,"ORDER SOON",""))))))</f>
        <v/>
      </c>
      <c r="AB266" s="35" t="str">
        <f>IF(Q266="","",IF(AND(X266="",Q266&gt;0),Q266,""))</f>
        <v/>
      </c>
      <c r="AC266" s="59" t="n"/>
      <c r="AD266" s="59" t="n"/>
      <c r="AE266" s="60" t="str">
        <f>IF(AND(C266&lt;&gt;"",B266='Client Sign-Off'!$D$7),COUNTIFS($B$6:B266,'Client Sign-Off'!$D$7,$C$6:C266,"?*"),"")</f>
        <v/>
      </c>
    </row>
    <row r="267" ht="18" customHeight="1">
      <c r="A267" s="54" t="str">
        <f>IF(C267="","",ROW()-5)</f>
        <v/>
      </c>
      <c r="B267" s="40" t="n"/>
      <c r="C267" s="40" t="n"/>
      <c r="D267" s="40" t="n"/>
      <c r="E267" s="40" t="n"/>
      <c r="F267" s="40" t="n"/>
      <c r="G267" s="55" t="str">
        <f>IF(F267="","",IFERROR(IF(INDEX(Project!$C$24:$C$27,MATCH(F267,Project!$B$24:$B$27,0))="","",INDEX(Project!$C$24:$C$27,MATCH(F267,Project!$B$24:$B$27,0))),""))</f>
        <v/>
      </c>
      <c r="H267" s="40" t="n"/>
      <c r="I267" s="40" t="n"/>
      <c r="J267" s="40" t="n"/>
      <c r="K267" s="40" t="n"/>
      <c r="L267" s="56" t="n"/>
      <c r="M267" s="40" t="n"/>
      <c r="N267" s="57" t="n"/>
      <c r="O267" s="35" t="str">
        <f>IF(OR(L267="",N267=""),"",L267*N267)</f>
        <v/>
      </c>
      <c r="P267" s="43" t="n"/>
      <c r="Q267" s="36" t="str">
        <f>IF(OR(O267="",P267=""),"",O267-P267)</f>
        <v/>
      </c>
      <c r="R267" s="40" t="n"/>
      <c r="S267" s="40" t="n"/>
      <c r="T267" s="58" t="n"/>
      <c r="U267" s="42" t="n"/>
      <c r="V267" s="55" t="str">
        <f>IF(OR(U267="",T267=""),"",U267-T267)</f>
        <v/>
      </c>
      <c r="W267" s="40" t="n"/>
      <c r="X267" s="42" t="n"/>
      <c r="Y267" s="40" t="n"/>
      <c r="Z267" s="32" t="str">
        <f>IF(C267="","",IF(OR(W267="Ordered",W267="Received",W267="Installed"),"Ordered",IF(AND(I267&lt;&gt;"",J267&lt;&gt;"",L267&lt;&gt;"",R267&lt;&gt;"",T267&lt;&gt;"",X267&lt;&gt;""),"READY","Missing: "&amp;_xlfn.TEXTJOIN(", ",TRUE,IF(I267="","model",""),IF(J267="","finish",""),IF(L267="","qty",""),IF(R267="","supplier",""),IF(T267="","lead time",""),IF(X267="","approval","")))))</f>
        <v/>
      </c>
      <c r="AA267" s="54" t="str">
        <f>IF(C267="","",IF(OR(W267="Ordered",W267="Received",W267="Installed"),"",IF(AND(G267&lt;&gt;"",X267="",G267&lt;TODAY()),"DECISION OVERDUE",IF(V267="","",IF(V267&lt;TODAY(),"ORDER OVERDUE",IF(V267-TODAY()&lt;=14,"ORDER SOON",""))))))</f>
        <v/>
      </c>
      <c r="AB267" s="35" t="str">
        <f>IF(Q267="","",IF(AND(X267="",Q267&gt;0),Q267,""))</f>
        <v/>
      </c>
      <c r="AC267" s="59" t="n"/>
      <c r="AD267" s="59" t="n"/>
      <c r="AE267" s="60" t="str">
        <f>IF(AND(C267&lt;&gt;"",B267='Client Sign-Off'!$D$7),COUNTIFS($B$6:B267,'Client Sign-Off'!$D$7,$C$6:C267,"?*"),"")</f>
        <v/>
      </c>
    </row>
    <row r="268" ht="18" customHeight="1">
      <c r="A268" s="54" t="str">
        <f>IF(C268="","",ROW()-5)</f>
        <v/>
      </c>
      <c r="B268" s="40" t="n"/>
      <c r="C268" s="40" t="n"/>
      <c r="D268" s="40" t="n"/>
      <c r="E268" s="40" t="n"/>
      <c r="F268" s="40" t="n"/>
      <c r="G268" s="55" t="str">
        <f>IF(F268="","",IFERROR(IF(INDEX(Project!$C$24:$C$27,MATCH(F268,Project!$B$24:$B$27,0))="","",INDEX(Project!$C$24:$C$27,MATCH(F268,Project!$B$24:$B$27,0))),""))</f>
        <v/>
      </c>
      <c r="H268" s="40" t="n"/>
      <c r="I268" s="40" t="n"/>
      <c r="J268" s="40" t="n"/>
      <c r="K268" s="40" t="n"/>
      <c r="L268" s="56" t="n"/>
      <c r="M268" s="40" t="n"/>
      <c r="N268" s="57" t="n"/>
      <c r="O268" s="35" t="str">
        <f>IF(OR(L268="",N268=""),"",L268*N268)</f>
        <v/>
      </c>
      <c r="P268" s="43" t="n"/>
      <c r="Q268" s="36" t="str">
        <f>IF(OR(O268="",P268=""),"",O268-P268)</f>
        <v/>
      </c>
      <c r="R268" s="40" t="n"/>
      <c r="S268" s="40" t="n"/>
      <c r="T268" s="58" t="n"/>
      <c r="U268" s="42" t="n"/>
      <c r="V268" s="55" t="str">
        <f>IF(OR(U268="",T268=""),"",U268-T268)</f>
        <v/>
      </c>
      <c r="W268" s="40" t="n"/>
      <c r="X268" s="42" t="n"/>
      <c r="Y268" s="40" t="n"/>
      <c r="Z268" s="32" t="str">
        <f>IF(C268="","",IF(OR(W268="Ordered",W268="Received",W268="Installed"),"Ordered",IF(AND(I268&lt;&gt;"",J268&lt;&gt;"",L268&lt;&gt;"",R268&lt;&gt;"",T268&lt;&gt;"",X268&lt;&gt;""),"READY","Missing: "&amp;_xlfn.TEXTJOIN(", ",TRUE,IF(I268="","model",""),IF(J268="","finish",""),IF(L268="","qty",""),IF(R268="","supplier",""),IF(T268="","lead time",""),IF(X268="","approval","")))))</f>
        <v/>
      </c>
      <c r="AA268" s="54" t="str">
        <f>IF(C268="","",IF(OR(W268="Ordered",W268="Received",W268="Installed"),"",IF(AND(G268&lt;&gt;"",X268="",G268&lt;TODAY()),"DECISION OVERDUE",IF(V268="","",IF(V268&lt;TODAY(),"ORDER OVERDUE",IF(V268-TODAY()&lt;=14,"ORDER SOON",""))))))</f>
        <v/>
      </c>
      <c r="AB268" s="35" t="str">
        <f>IF(Q268="","",IF(AND(X268="",Q268&gt;0),Q268,""))</f>
        <v/>
      </c>
      <c r="AC268" s="59" t="n"/>
      <c r="AD268" s="59" t="n"/>
      <c r="AE268" s="60" t="str">
        <f>IF(AND(C268&lt;&gt;"",B268='Client Sign-Off'!$D$7),COUNTIFS($B$6:B268,'Client Sign-Off'!$D$7,$C$6:C268,"?*"),"")</f>
        <v/>
      </c>
    </row>
    <row r="269" ht="18" customHeight="1">
      <c r="A269" s="54" t="str">
        <f>IF(C269="","",ROW()-5)</f>
        <v/>
      </c>
      <c r="B269" s="40" t="n"/>
      <c r="C269" s="40" t="n"/>
      <c r="D269" s="40" t="n"/>
      <c r="E269" s="40" t="n"/>
      <c r="F269" s="40" t="n"/>
      <c r="G269" s="55" t="str">
        <f>IF(F269="","",IFERROR(IF(INDEX(Project!$C$24:$C$27,MATCH(F269,Project!$B$24:$B$27,0))="","",INDEX(Project!$C$24:$C$27,MATCH(F269,Project!$B$24:$B$27,0))),""))</f>
        <v/>
      </c>
      <c r="H269" s="40" t="n"/>
      <c r="I269" s="40" t="n"/>
      <c r="J269" s="40" t="n"/>
      <c r="K269" s="40" t="n"/>
      <c r="L269" s="56" t="n"/>
      <c r="M269" s="40" t="n"/>
      <c r="N269" s="57" t="n"/>
      <c r="O269" s="35" t="str">
        <f>IF(OR(L269="",N269=""),"",L269*N269)</f>
        <v/>
      </c>
      <c r="P269" s="43" t="n"/>
      <c r="Q269" s="36" t="str">
        <f>IF(OR(O269="",P269=""),"",O269-P269)</f>
        <v/>
      </c>
      <c r="R269" s="40" t="n"/>
      <c r="S269" s="40" t="n"/>
      <c r="T269" s="58" t="n"/>
      <c r="U269" s="42" t="n"/>
      <c r="V269" s="55" t="str">
        <f>IF(OR(U269="",T269=""),"",U269-T269)</f>
        <v/>
      </c>
      <c r="W269" s="40" t="n"/>
      <c r="X269" s="42" t="n"/>
      <c r="Y269" s="40" t="n"/>
      <c r="Z269" s="32" t="str">
        <f>IF(C269="","",IF(OR(W269="Ordered",W269="Received",W269="Installed"),"Ordered",IF(AND(I269&lt;&gt;"",J269&lt;&gt;"",L269&lt;&gt;"",R269&lt;&gt;"",T269&lt;&gt;"",X269&lt;&gt;""),"READY","Missing: "&amp;_xlfn.TEXTJOIN(", ",TRUE,IF(I269="","model",""),IF(J269="","finish",""),IF(L269="","qty",""),IF(R269="","supplier",""),IF(T269="","lead time",""),IF(X269="","approval","")))))</f>
        <v/>
      </c>
      <c r="AA269" s="54" t="str">
        <f>IF(C269="","",IF(OR(W269="Ordered",W269="Received",W269="Installed"),"",IF(AND(G269&lt;&gt;"",X269="",G269&lt;TODAY()),"DECISION OVERDUE",IF(V269="","",IF(V269&lt;TODAY(),"ORDER OVERDUE",IF(V269-TODAY()&lt;=14,"ORDER SOON",""))))))</f>
        <v/>
      </c>
      <c r="AB269" s="35" t="str">
        <f>IF(Q269="","",IF(AND(X269="",Q269&gt;0),Q269,""))</f>
        <v/>
      </c>
      <c r="AC269" s="59" t="n"/>
      <c r="AD269" s="59" t="n"/>
      <c r="AE269" s="60" t="str">
        <f>IF(AND(C269&lt;&gt;"",B269='Client Sign-Off'!$D$7),COUNTIFS($B$6:B269,'Client Sign-Off'!$D$7,$C$6:C269,"?*"),"")</f>
        <v/>
      </c>
    </row>
    <row r="270" ht="18" customHeight="1">
      <c r="A270" s="54" t="str">
        <f>IF(C270="","",ROW()-5)</f>
        <v/>
      </c>
      <c r="B270" s="40" t="n"/>
      <c r="C270" s="40" t="n"/>
      <c r="D270" s="40" t="n"/>
      <c r="E270" s="40" t="n"/>
      <c r="F270" s="40" t="n"/>
      <c r="G270" s="55" t="str">
        <f>IF(F270="","",IFERROR(IF(INDEX(Project!$C$24:$C$27,MATCH(F270,Project!$B$24:$B$27,0))="","",INDEX(Project!$C$24:$C$27,MATCH(F270,Project!$B$24:$B$27,0))),""))</f>
        <v/>
      </c>
      <c r="H270" s="40" t="n"/>
      <c r="I270" s="40" t="n"/>
      <c r="J270" s="40" t="n"/>
      <c r="K270" s="40" t="n"/>
      <c r="L270" s="56" t="n"/>
      <c r="M270" s="40" t="n"/>
      <c r="N270" s="57" t="n"/>
      <c r="O270" s="35" t="str">
        <f>IF(OR(L270="",N270=""),"",L270*N270)</f>
        <v/>
      </c>
      <c r="P270" s="43" t="n"/>
      <c r="Q270" s="36" t="str">
        <f>IF(OR(O270="",P270=""),"",O270-P270)</f>
        <v/>
      </c>
      <c r="R270" s="40" t="n"/>
      <c r="S270" s="40" t="n"/>
      <c r="T270" s="58" t="n"/>
      <c r="U270" s="42" t="n"/>
      <c r="V270" s="55" t="str">
        <f>IF(OR(U270="",T270=""),"",U270-T270)</f>
        <v/>
      </c>
      <c r="W270" s="40" t="n"/>
      <c r="X270" s="42" t="n"/>
      <c r="Y270" s="40" t="n"/>
      <c r="Z270" s="32" t="str">
        <f>IF(C270="","",IF(OR(W270="Ordered",W270="Received",W270="Installed"),"Ordered",IF(AND(I270&lt;&gt;"",J270&lt;&gt;"",L270&lt;&gt;"",R270&lt;&gt;"",T270&lt;&gt;"",X270&lt;&gt;""),"READY","Missing: "&amp;_xlfn.TEXTJOIN(", ",TRUE,IF(I270="","model",""),IF(J270="","finish",""),IF(L270="","qty",""),IF(R270="","supplier",""),IF(T270="","lead time",""),IF(X270="","approval","")))))</f>
        <v/>
      </c>
      <c r="AA270" s="54" t="str">
        <f>IF(C270="","",IF(OR(W270="Ordered",W270="Received",W270="Installed"),"",IF(AND(G270&lt;&gt;"",X270="",G270&lt;TODAY()),"DECISION OVERDUE",IF(V270="","",IF(V270&lt;TODAY(),"ORDER OVERDUE",IF(V270-TODAY()&lt;=14,"ORDER SOON",""))))))</f>
        <v/>
      </c>
      <c r="AB270" s="35" t="str">
        <f>IF(Q270="","",IF(AND(X270="",Q270&gt;0),Q270,""))</f>
        <v/>
      </c>
      <c r="AC270" s="59" t="n"/>
      <c r="AD270" s="59" t="n"/>
      <c r="AE270" s="60" t="str">
        <f>IF(AND(C270&lt;&gt;"",B270='Client Sign-Off'!$D$7),COUNTIFS($B$6:B270,'Client Sign-Off'!$D$7,$C$6:C270,"?*"),"")</f>
        <v/>
      </c>
    </row>
    <row r="271" ht="18" customHeight="1">
      <c r="A271" s="54" t="str">
        <f>IF(C271="","",ROW()-5)</f>
        <v/>
      </c>
      <c r="B271" s="40" t="n"/>
      <c r="C271" s="40" t="n"/>
      <c r="D271" s="40" t="n"/>
      <c r="E271" s="40" t="n"/>
      <c r="F271" s="40" t="n"/>
      <c r="G271" s="55" t="str">
        <f>IF(F271="","",IFERROR(IF(INDEX(Project!$C$24:$C$27,MATCH(F271,Project!$B$24:$B$27,0))="","",INDEX(Project!$C$24:$C$27,MATCH(F271,Project!$B$24:$B$27,0))),""))</f>
        <v/>
      </c>
      <c r="H271" s="40" t="n"/>
      <c r="I271" s="40" t="n"/>
      <c r="J271" s="40" t="n"/>
      <c r="K271" s="40" t="n"/>
      <c r="L271" s="56" t="n"/>
      <c r="M271" s="40" t="n"/>
      <c r="N271" s="57" t="n"/>
      <c r="O271" s="35" t="str">
        <f>IF(OR(L271="",N271=""),"",L271*N271)</f>
        <v/>
      </c>
      <c r="P271" s="43" t="n"/>
      <c r="Q271" s="36" t="str">
        <f>IF(OR(O271="",P271=""),"",O271-P271)</f>
        <v/>
      </c>
      <c r="R271" s="40" t="n"/>
      <c r="S271" s="40" t="n"/>
      <c r="T271" s="58" t="n"/>
      <c r="U271" s="42" t="n"/>
      <c r="V271" s="55" t="str">
        <f>IF(OR(U271="",T271=""),"",U271-T271)</f>
        <v/>
      </c>
      <c r="W271" s="40" t="n"/>
      <c r="X271" s="42" t="n"/>
      <c r="Y271" s="40" t="n"/>
      <c r="Z271" s="32" t="str">
        <f>IF(C271="","",IF(OR(W271="Ordered",W271="Received",W271="Installed"),"Ordered",IF(AND(I271&lt;&gt;"",J271&lt;&gt;"",L271&lt;&gt;"",R271&lt;&gt;"",T271&lt;&gt;"",X271&lt;&gt;""),"READY","Missing: "&amp;_xlfn.TEXTJOIN(", ",TRUE,IF(I271="","model",""),IF(J271="","finish",""),IF(L271="","qty",""),IF(R271="","supplier",""),IF(T271="","lead time",""),IF(X271="","approval","")))))</f>
        <v/>
      </c>
      <c r="AA271" s="54" t="str">
        <f>IF(C271="","",IF(OR(W271="Ordered",W271="Received",W271="Installed"),"",IF(AND(G271&lt;&gt;"",X271="",G271&lt;TODAY()),"DECISION OVERDUE",IF(V271="","",IF(V271&lt;TODAY(),"ORDER OVERDUE",IF(V271-TODAY()&lt;=14,"ORDER SOON",""))))))</f>
        <v/>
      </c>
      <c r="AB271" s="35" t="str">
        <f>IF(Q271="","",IF(AND(X271="",Q271&gt;0),Q271,""))</f>
        <v/>
      </c>
      <c r="AC271" s="59" t="n"/>
      <c r="AD271" s="59" t="n"/>
      <c r="AE271" s="60" t="str">
        <f>IF(AND(C271&lt;&gt;"",B271='Client Sign-Off'!$D$7),COUNTIFS($B$6:B271,'Client Sign-Off'!$D$7,$C$6:C271,"?*"),"")</f>
        <v/>
      </c>
    </row>
    <row r="272" ht="18" customHeight="1">
      <c r="A272" s="54" t="str">
        <f>IF(C272="","",ROW()-5)</f>
        <v/>
      </c>
      <c r="B272" s="40" t="n"/>
      <c r="C272" s="40" t="n"/>
      <c r="D272" s="40" t="n"/>
      <c r="E272" s="40" t="n"/>
      <c r="F272" s="40" t="n"/>
      <c r="G272" s="55" t="str">
        <f>IF(F272="","",IFERROR(IF(INDEX(Project!$C$24:$C$27,MATCH(F272,Project!$B$24:$B$27,0))="","",INDEX(Project!$C$24:$C$27,MATCH(F272,Project!$B$24:$B$27,0))),""))</f>
        <v/>
      </c>
      <c r="H272" s="40" t="n"/>
      <c r="I272" s="40" t="n"/>
      <c r="J272" s="40" t="n"/>
      <c r="K272" s="40" t="n"/>
      <c r="L272" s="56" t="n"/>
      <c r="M272" s="40" t="n"/>
      <c r="N272" s="57" t="n"/>
      <c r="O272" s="35" t="str">
        <f>IF(OR(L272="",N272=""),"",L272*N272)</f>
        <v/>
      </c>
      <c r="P272" s="43" t="n"/>
      <c r="Q272" s="36" t="str">
        <f>IF(OR(O272="",P272=""),"",O272-P272)</f>
        <v/>
      </c>
      <c r="R272" s="40" t="n"/>
      <c r="S272" s="40" t="n"/>
      <c r="T272" s="58" t="n"/>
      <c r="U272" s="42" t="n"/>
      <c r="V272" s="55" t="str">
        <f>IF(OR(U272="",T272=""),"",U272-T272)</f>
        <v/>
      </c>
      <c r="W272" s="40" t="n"/>
      <c r="X272" s="42" t="n"/>
      <c r="Y272" s="40" t="n"/>
      <c r="Z272" s="32" t="str">
        <f>IF(C272="","",IF(OR(W272="Ordered",W272="Received",W272="Installed"),"Ordered",IF(AND(I272&lt;&gt;"",J272&lt;&gt;"",L272&lt;&gt;"",R272&lt;&gt;"",T272&lt;&gt;"",X272&lt;&gt;""),"READY","Missing: "&amp;_xlfn.TEXTJOIN(", ",TRUE,IF(I272="","model",""),IF(J272="","finish",""),IF(L272="","qty",""),IF(R272="","supplier",""),IF(T272="","lead time",""),IF(X272="","approval","")))))</f>
        <v/>
      </c>
      <c r="AA272" s="54" t="str">
        <f>IF(C272="","",IF(OR(W272="Ordered",W272="Received",W272="Installed"),"",IF(AND(G272&lt;&gt;"",X272="",G272&lt;TODAY()),"DECISION OVERDUE",IF(V272="","",IF(V272&lt;TODAY(),"ORDER OVERDUE",IF(V272-TODAY()&lt;=14,"ORDER SOON",""))))))</f>
        <v/>
      </c>
      <c r="AB272" s="35" t="str">
        <f>IF(Q272="","",IF(AND(X272="",Q272&gt;0),Q272,""))</f>
        <v/>
      </c>
      <c r="AC272" s="59" t="n"/>
      <c r="AD272" s="59" t="n"/>
      <c r="AE272" s="60" t="str">
        <f>IF(AND(C272&lt;&gt;"",B272='Client Sign-Off'!$D$7),COUNTIFS($B$6:B272,'Client Sign-Off'!$D$7,$C$6:C272,"?*"),"")</f>
        <v/>
      </c>
    </row>
    <row r="273" ht="18" customHeight="1">
      <c r="A273" s="54" t="str">
        <f>IF(C273="","",ROW()-5)</f>
        <v/>
      </c>
      <c r="B273" s="40" t="n"/>
      <c r="C273" s="40" t="n"/>
      <c r="D273" s="40" t="n"/>
      <c r="E273" s="40" t="n"/>
      <c r="F273" s="40" t="n"/>
      <c r="G273" s="55" t="str">
        <f>IF(F273="","",IFERROR(IF(INDEX(Project!$C$24:$C$27,MATCH(F273,Project!$B$24:$B$27,0))="","",INDEX(Project!$C$24:$C$27,MATCH(F273,Project!$B$24:$B$27,0))),""))</f>
        <v/>
      </c>
      <c r="H273" s="40" t="n"/>
      <c r="I273" s="40" t="n"/>
      <c r="J273" s="40" t="n"/>
      <c r="K273" s="40" t="n"/>
      <c r="L273" s="56" t="n"/>
      <c r="M273" s="40" t="n"/>
      <c r="N273" s="57" t="n"/>
      <c r="O273" s="35" t="str">
        <f>IF(OR(L273="",N273=""),"",L273*N273)</f>
        <v/>
      </c>
      <c r="P273" s="43" t="n"/>
      <c r="Q273" s="36" t="str">
        <f>IF(OR(O273="",P273=""),"",O273-P273)</f>
        <v/>
      </c>
      <c r="R273" s="40" t="n"/>
      <c r="S273" s="40" t="n"/>
      <c r="T273" s="58" t="n"/>
      <c r="U273" s="42" t="n"/>
      <c r="V273" s="55" t="str">
        <f>IF(OR(U273="",T273=""),"",U273-T273)</f>
        <v/>
      </c>
      <c r="W273" s="40" t="n"/>
      <c r="X273" s="42" t="n"/>
      <c r="Y273" s="40" t="n"/>
      <c r="Z273" s="32" t="str">
        <f>IF(C273="","",IF(OR(W273="Ordered",W273="Received",W273="Installed"),"Ordered",IF(AND(I273&lt;&gt;"",J273&lt;&gt;"",L273&lt;&gt;"",R273&lt;&gt;"",T273&lt;&gt;"",X273&lt;&gt;""),"READY","Missing: "&amp;_xlfn.TEXTJOIN(", ",TRUE,IF(I273="","model",""),IF(J273="","finish",""),IF(L273="","qty",""),IF(R273="","supplier",""),IF(T273="","lead time",""),IF(X273="","approval","")))))</f>
        <v/>
      </c>
      <c r="AA273" s="54" t="str">
        <f>IF(C273="","",IF(OR(W273="Ordered",W273="Received",W273="Installed"),"",IF(AND(G273&lt;&gt;"",X273="",G273&lt;TODAY()),"DECISION OVERDUE",IF(V273="","",IF(V273&lt;TODAY(),"ORDER OVERDUE",IF(V273-TODAY()&lt;=14,"ORDER SOON",""))))))</f>
        <v/>
      </c>
      <c r="AB273" s="35" t="str">
        <f>IF(Q273="","",IF(AND(X273="",Q273&gt;0),Q273,""))</f>
        <v/>
      </c>
      <c r="AC273" s="59" t="n"/>
      <c r="AD273" s="59" t="n"/>
      <c r="AE273" s="60" t="str">
        <f>IF(AND(C273&lt;&gt;"",B273='Client Sign-Off'!$D$7),COUNTIFS($B$6:B273,'Client Sign-Off'!$D$7,$C$6:C273,"?*"),"")</f>
        <v/>
      </c>
    </row>
    <row r="274" ht="18" customHeight="1">
      <c r="A274" s="54" t="str">
        <f>IF(C274="","",ROW()-5)</f>
        <v/>
      </c>
      <c r="B274" s="40" t="n"/>
      <c r="C274" s="40" t="n"/>
      <c r="D274" s="40" t="n"/>
      <c r="E274" s="40" t="n"/>
      <c r="F274" s="40" t="n"/>
      <c r="G274" s="55" t="str">
        <f>IF(F274="","",IFERROR(IF(INDEX(Project!$C$24:$C$27,MATCH(F274,Project!$B$24:$B$27,0))="","",INDEX(Project!$C$24:$C$27,MATCH(F274,Project!$B$24:$B$27,0))),""))</f>
        <v/>
      </c>
      <c r="H274" s="40" t="n"/>
      <c r="I274" s="40" t="n"/>
      <c r="J274" s="40" t="n"/>
      <c r="K274" s="40" t="n"/>
      <c r="L274" s="56" t="n"/>
      <c r="M274" s="40" t="n"/>
      <c r="N274" s="57" t="n"/>
      <c r="O274" s="35" t="str">
        <f>IF(OR(L274="",N274=""),"",L274*N274)</f>
        <v/>
      </c>
      <c r="P274" s="43" t="n"/>
      <c r="Q274" s="36" t="str">
        <f>IF(OR(O274="",P274=""),"",O274-P274)</f>
        <v/>
      </c>
      <c r="R274" s="40" t="n"/>
      <c r="S274" s="40" t="n"/>
      <c r="T274" s="58" t="n"/>
      <c r="U274" s="42" t="n"/>
      <c r="V274" s="55" t="str">
        <f>IF(OR(U274="",T274=""),"",U274-T274)</f>
        <v/>
      </c>
      <c r="W274" s="40" t="n"/>
      <c r="X274" s="42" t="n"/>
      <c r="Y274" s="40" t="n"/>
      <c r="Z274" s="32" t="str">
        <f>IF(C274="","",IF(OR(W274="Ordered",W274="Received",W274="Installed"),"Ordered",IF(AND(I274&lt;&gt;"",J274&lt;&gt;"",L274&lt;&gt;"",R274&lt;&gt;"",T274&lt;&gt;"",X274&lt;&gt;""),"READY","Missing: "&amp;_xlfn.TEXTJOIN(", ",TRUE,IF(I274="","model",""),IF(J274="","finish",""),IF(L274="","qty",""),IF(R274="","supplier",""),IF(T274="","lead time",""),IF(X274="","approval","")))))</f>
        <v/>
      </c>
      <c r="AA274" s="54" t="str">
        <f>IF(C274="","",IF(OR(W274="Ordered",W274="Received",W274="Installed"),"",IF(AND(G274&lt;&gt;"",X274="",G274&lt;TODAY()),"DECISION OVERDUE",IF(V274="","",IF(V274&lt;TODAY(),"ORDER OVERDUE",IF(V274-TODAY()&lt;=14,"ORDER SOON",""))))))</f>
        <v/>
      </c>
      <c r="AB274" s="35" t="str">
        <f>IF(Q274="","",IF(AND(X274="",Q274&gt;0),Q274,""))</f>
        <v/>
      </c>
      <c r="AC274" s="59" t="n"/>
      <c r="AD274" s="59" t="n"/>
      <c r="AE274" s="60" t="str">
        <f>IF(AND(C274&lt;&gt;"",B274='Client Sign-Off'!$D$7),COUNTIFS($B$6:B274,'Client Sign-Off'!$D$7,$C$6:C274,"?*"),"")</f>
        <v/>
      </c>
    </row>
    <row r="275" ht="18" customHeight="1">
      <c r="A275" s="54" t="str">
        <f>IF(C275="","",ROW()-5)</f>
        <v/>
      </c>
      <c r="B275" s="40" t="n"/>
      <c r="C275" s="40" t="n"/>
      <c r="D275" s="40" t="n"/>
      <c r="E275" s="40" t="n"/>
      <c r="F275" s="40" t="n"/>
      <c r="G275" s="55" t="str">
        <f>IF(F275="","",IFERROR(IF(INDEX(Project!$C$24:$C$27,MATCH(F275,Project!$B$24:$B$27,0))="","",INDEX(Project!$C$24:$C$27,MATCH(F275,Project!$B$24:$B$27,0))),""))</f>
        <v/>
      </c>
      <c r="H275" s="40" t="n"/>
      <c r="I275" s="40" t="n"/>
      <c r="J275" s="40" t="n"/>
      <c r="K275" s="40" t="n"/>
      <c r="L275" s="56" t="n"/>
      <c r="M275" s="40" t="n"/>
      <c r="N275" s="57" t="n"/>
      <c r="O275" s="35" t="str">
        <f>IF(OR(L275="",N275=""),"",L275*N275)</f>
        <v/>
      </c>
      <c r="P275" s="43" t="n"/>
      <c r="Q275" s="36" t="str">
        <f>IF(OR(O275="",P275=""),"",O275-P275)</f>
        <v/>
      </c>
      <c r="R275" s="40" t="n"/>
      <c r="S275" s="40" t="n"/>
      <c r="T275" s="58" t="n"/>
      <c r="U275" s="42" t="n"/>
      <c r="V275" s="55" t="str">
        <f>IF(OR(U275="",T275=""),"",U275-T275)</f>
        <v/>
      </c>
      <c r="W275" s="40" t="n"/>
      <c r="X275" s="42" t="n"/>
      <c r="Y275" s="40" t="n"/>
      <c r="Z275" s="32" t="str">
        <f>IF(C275="","",IF(OR(W275="Ordered",W275="Received",W275="Installed"),"Ordered",IF(AND(I275&lt;&gt;"",J275&lt;&gt;"",L275&lt;&gt;"",R275&lt;&gt;"",T275&lt;&gt;"",X275&lt;&gt;""),"READY","Missing: "&amp;_xlfn.TEXTJOIN(", ",TRUE,IF(I275="","model",""),IF(J275="","finish",""),IF(L275="","qty",""),IF(R275="","supplier",""),IF(T275="","lead time",""),IF(X275="","approval","")))))</f>
        <v/>
      </c>
      <c r="AA275" s="54" t="str">
        <f>IF(C275="","",IF(OR(W275="Ordered",W275="Received",W275="Installed"),"",IF(AND(G275&lt;&gt;"",X275="",G275&lt;TODAY()),"DECISION OVERDUE",IF(V275="","",IF(V275&lt;TODAY(),"ORDER OVERDUE",IF(V275-TODAY()&lt;=14,"ORDER SOON",""))))))</f>
        <v/>
      </c>
      <c r="AB275" s="35" t="str">
        <f>IF(Q275="","",IF(AND(X275="",Q275&gt;0),Q275,""))</f>
        <v/>
      </c>
      <c r="AC275" s="59" t="n"/>
      <c r="AD275" s="59" t="n"/>
      <c r="AE275" s="60" t="str">
        <f>IF(AND(C275&lt;&gt;"",B275='Client Sign-Off'!$D$7),COUNTIFS($B$6:B275,'Client Sign-Off'!$D$7,$C$6:C275,"?*"),"")</f>
        <v/>
      </c>
    </row>
    <row r="276" ht="18" customHeight="1">
      <c r="A276" s="54" t="str">
        <f>IF(C276="","",ROW()-5)</f>
        <v/>
      </c>
      <c r="B276" s="40" t="n"/>
      <c r="C276" s="40" t="n"/>
      <c r="D276" s="40" t="n"/>
      <c r="E276" s="40" t="n"/>
      <c r="F276" s="40" t="n"/>
      <c r="G276" s="55" t="str">
        <f>IF(F276="","",IFERROR(IF(INDEX(Project!$C$24:$C$27,MATCH(F276,Project!$B$24:$B$27,0))="","",INDEX(Project!$C$24:$C$27,MATCH(F276,Project!$B$24:$B$27,0))),""))</f>
        <v/>
      </c>
      <c r="H276" s="40" t="n"/>
      <c r="I276" s="40" t="n"/>
      <c r="J276" s="40" t="n"/>
      <c r="K276" s="40" t="n"/>
      <c r="L276" s="56" t="n"/>
      <c r="M276" s="40" t="n"/>
      <c r="N276" s="57" t="n"/>
      <c r="O276" s="35" t="str">
        <f>IF(OR(L276="",N276=""),"",L276*N276)</f>
        <v/>
      </c>
      <c r="P276" s="43" t="n"/>
      <c r="Q276" s="36" t="str">
        <f>IF(OR(O276="",P276=""),"",O276-P276)</f>
        <v/>
      </c>
      <c r="R276" s="40" t="n"/>
      <c r="S276" s="40" t="n"/>
      <c r="T276" s="58" t="n"/>
      <c r="U276" s="42" t="n"/>
      <c r="V276" s="55" t="str">
        <f>IF(OR(U276="",T276=""),"",U276-T276)</f>
        <v/>
      </c>
      <c r="W276" s="40" t="n"/>
      <c r="X276" s="42" t="n"/>
      <c r="Y276" s="40" t="n"/>
      <c r="Z276" s="32" t="str">
        <f>IF(C276="","",IF(OR(W276="Ordered",W276="Received",W276="Installed"),"Ordered",IF(AND(I276&lt;&gt;"",J276&lt;&gt;"",L276&lt;&gt;"",R276&lt;&gt;"",T276&lt;&gt;"",X276&lt;&gt;""),"READY","Missing: "&amp;_xlfn.TEXTJOIN(", ",TRUE,IF(I276="","model",""),IF(J276="","finish",""),IF(L276="","qty",""),IF(R276="","supplier",""),IF(T276="","lead time",""),IF(X276="","approval","")))))</f>
        <v/>
      </c>
      <c r="AA276" s="54" t="str">
        <f>IF(C276="","",IF(OR(W276="Ordered",W276="Received",W276="Installed"),"",IF(AND(G276&lt;&gt;"",X276="",G276&lt;TODAY()),"DECISION OVERDUE",IF(V276="","",IF(V276&lt;TODAY(),"ORDER OVERDUE",IF(V276-TODAY()&lt;=14,"ORDER SOON",""))))))</f>
        <v/>
      </c>
      <c r="AB276" s="35" t="str">
        <f>IF(Q276="","",IF(AND(X276="",Q276&gt;0),Q276,""))</f>
        <v/>
      </c>
      <c r="AC276" s="59" t="n"/>
      <c r="AD276" s="59" t="n"/>
      <c r="AE276" s="60" t="str">
        <f>IF(AND(C276&lt;&gt;"",B276='Client Sign-Off'!$D$7),COUNTIFS($B$6:B276,'Client Sign-Off'!$D$7,$C$6:C276,"?*"),"")</f>
        <v/>
      </c>
    </row>
    <row r="277" ht="18" customHeight="1">
      <c r="A277" s="54" t="str">
        <f>IF(C277="","",ROW()-5)</f>
        <v/>
      </c>
      <c r="B277" s="40" t="n"/>
      <c r="C277" s="40" t="n"/>
      <c r="D277" s="40" t="n"/>
      <c r="E277" s="40" t="n"/>
      <c r="F277" s="40" t="n"/>
      <c r="G277" s="55" t="str">
        <f>IF(F277="","",IFERROR(IF(INDEX(Project!$C$24:$C$27,MATCH(F277,Project!$B$24:$B$27,0))="","",INDEX(Project!$C$24:$C$27,MATCH(F277,Project!$B$24:$B$27,0))),""))</f>
        <v/>
      </c>
      <c r="H277" s="40" t="n"/>
      <c r="I277" s="40" t="n"/>
      <c r="J277" s="40" t="n"/>
      <c r="K277" s="40" t="n"/>
      <c r="L277" s="56" t="n"/>
      <c r="M277" s="40" t="n"/>
      <c r="N277" s="57" t="n"/>
      <c r="O277" s="35" t="str">
        <f>IF(OR(L277="",N277=""),"",L277*N277)</f>
        <v/>
      </c>
      <c r="P277" s="43" t="n"/>
      <c r="Q277" s="36" t="str">
        <f>IF(OR(O277="",P277=""),"",O277-P277)</f>
        <v/>
      </c>
      <c r="R277" s="40" t="n"/>
      <c r="S277" s="40" t="n"/>
      <c r="T277" s="58" t="n"/>
      <c r="U277" s="42" t="n"/>
      <c r="V277" s="55" t="str">
        <f>IF(OR(U277="",T277=""),"",U277-T277)</f>
        <v/>
      </c>
      <c r="W277" s="40" t="n"/>
      <c r="X277" s="42" t="n"/>
      <c r="Y277" s="40" t="n"/>
      <c r="Z277" s="32" t="str">
        <f>IF(C277="","",IF(OR(W277="Ordered",W277="Received",W277="Installed"),"Ordered",IF(AND(I277&lt;&gt;"",J277&lt;&gt;"",L277&lt;&gt;"",R277&lt;&gt;"",T277&lt;&gt;"",X277&lt;&gt;""),"READY","Missing: "&amp;_xlfn.TEXTJOIN(", ",TRUE,IF(I277="","model",""),IF(J277="","finish",""),IF(L277="","qty",""),IF(R277="","supplier",""),IF(T277="","lead time",""),IF(X277="","approval","")))))</f>
        <v/>
      </c>
      <c r="AA277" s="54" t="str">
        <f>IF(C277="","",IF(OR(W277="Ordered",W277="Received",W277="Installed"),"",IF(AND(G277&lt;&gt;"",X277="",G277&lt;TODAY()),"DECISION OVERDUE",IF(V277="","",IF(V277&lt;TODAY(),"ORDER OVERDUE",IF(V277-TODAY()&lt;=14,"ORDER SOON",""))))))</f>
        <v/>
      </c>
      <c r="AB277" s="35" t="str">
        <f>IF(Q277="","",IF(AND(X277="",Q277&gt;0),Q277,""))</f>
        <v/>
      </c>
      <c r="AC277" s="59" t="n"/>
      <c r="AD277" s="59" t="n"/>
      <c r="AE277" s="60" t="str">
        <f>IF(AND(C277&lt;&gt;"",B277='Client Sign-Off'!$D$7),COUNTIFS($B$6:B277,'Client Sign-Off'!$D$7,$C$6:C277,"?*"),"")</f>
        <v/>
      </c>
    </row>
    <row r="278" ht="18" customHeight="1">
      <c r="A278" s="54" t="str">
        <f>IF(C278="","",ROW()-5)</f>
        <v/>
      </c>
      <c r="B278" s="40" t="n"/>
      <c r="C278" s="40" t="n"/>
      <c r="D278" s="40" t="n"/>
      <c r="E278" s="40" t="n"/>
      <c r="F278" s="40" t="n"/>
      <c r="G278" s="55" t="str">
        <f>IF(F278="","",IFERROR(IF(INDEX(Project!$C$24:$C$27,MATCH(F278,Project!$B$24:$B$27,0))="","",INDEX(Project!$C$24:$C$27,MATCH(F278,Project!$B$24:$B$27,0))),""))</f>
        <v/>
      </c>
      <c r="H278" s="40" t="n"/>
      <c r="I278" s="40" t="n"/>
      <c r="J278" s="40" t="n"/>
      <c r="K278" s="40" t="n"/>
      <c r="L278" s="56" t="n"/>
      <c r="M278" s="40" t="n"/>
      <c r="N278" s="57" t="n"/>
      <c r="O278" s="35" t="str">
        <f>IF(OR(L278="",N278=""),"",L278*N278)</f>
        <v/>
      </c>
      <c r="P278" s="43" t="n"/>
      <c r="Q278" s="36" t="str">
        <f>IF(OR(O278="",P278=""),"",O278-P278)</f>
        <v/>
      </c>
      <c r="R278" s="40" t="n"/>
      <c r="S278" s="40" t="n"/>
      <c r="T278" s="58" t="n"/>
      <c r="U278" s="42" t="n"/>
      <c r="V278" s="55" t="str">
        <f>IF(OR(U278="",T278=""),"",U278-T278)</f>
        <v/>
      </c>
      <c r="W278" s="40" t="n"/>
      <c r="X278" s="42" t="n"/>
      <c r="Y278" s="40" t="n"/>
      <c r="Z278" s="32" t="str">
        <f>IF(C278="","",IF(OR(W278="Ordered",W278="Received",W278="Installed"),"Ordered",IF(AND(I278&lt;&gt;"",J278&lt;&gt;"",L278&lt;&gt;"",R278&lt;&gt;"",T278&lt;&gt;"",X278&lt;&gt;""),"READY","Missing: "&amp;_xlfn.TEXTJOIN(", ",TRUE,IF(I278="","model",""),IF(J278="","finish",""),IF(L278="","qty",""),IF(R278="","supplier",""),IF(T278="","lead time",""),IF(X278="","approval","")))))</f>
        <v/>
      </c>
      <c r="AA278" s="54" t="str">
        <f>IF(C278="","",IF(OR(W278="Ordered",W278="Received",W278="Installed"),"",IF(AND(G278&lt;&gt;"",X278="",G278&lt;TODAY()),"DECISION OVERDUE",IF(V278="","",IF(V278&lt;TODAY(),"ORDER OVERDUE",IF(V278-TODAY()&lt;=14,"ORDER SOON",""))))))</f>
        <v/>
      </c>
      <c r="AB278" s="35" t="str">
        <f>IF(Q278="","",IF(AND(X278="",Q278&gt;0),Q278,""))</f>
        <v/>
      </c>
      <c r="AC278" s="59" t="n"/>
      <c r="AD278" s="59" t="n"/>
      <c r="AE278" s="60" t="str">
        <f>IF(AND(C278&lt;&gt;"",B278='Client Sign-Off'!$D$7),COUNTIFS($B$6:B278,'Client Sign-Off'!$D$7,$C$6:C278,"?*"),"")</f>
        <v/>
      </c>
    </row>
    <row r="279" ht="18" customHeight="1">
      <c r="A279" s="54" t="str">
        <f>IF(C279="","",ROW()-5)</f>
        <v/>
      </c>
      <c r="B279" s="40" t="n"/>
      <c r="C279" s="40" t="n"/>
      <c r="D279" s="40" t="n"/>
      <c r="E279" s="40" t="n"/>
      <c r="F279" s="40" t="n"/>
      <c r="G279" s="55" t="str">
        <f>IF(F279="","",IFERROR(IF(INDEX(Project!$C$24:$C$27,MATCH(F279,Project!$B$24:$B$27,0))="","",INDEX(Project!$C$24:$C$27,MATCH(F279,Project!$B$24:$B$27,0))),""))</f>
        <v/>
      </c>
      <c r="H279" s="40" t="n"/>
      <c r="I279" s="40" t="n"/>
      <c r="J279" s="40" t="n"/>
      <c r="K279" s="40" t="n"/>
      <c r="L279" s="56" t="n"/>
      <c r="M279" s="40" t="n"/>
      <c r="N279" s="57" t="n"/>
      <c r="O279" s="35" t="str">
        <f>IF(OR(L279="",N279=""),"",L279*N279)</f>
        <v/>
      </c>
      <c r="P279" s="43" t="n"/>
      <c r="Q279" s="36" t="str">
        <f>IF(OR(O279="",P279=""),"",O279-P279)</f>
        <v/>
      </c>
      <c r="R279" s="40" t="n"/>
      <c r="S279" s="40" t="n"/>
      <c r="T279" s="58" t="n"/>
      <c r="U279" s="42" t="n"/>
      <c r="V279" s="55" t="str">
        <f>IF(OR(U279="",T279=""),"",U279-T279)</f>
        <v/>
      </c>
      <c r="W279" s="40" t="n"/>
      <c r="X279" s="42" t="n"/>
      <c r="Y279" s="40" t="n"/>
      <c r="Z279" s="32" t="str">
        <f>IF(C279="","",IF(OR(W279="Ordered",W279="Received",W279="Installed"),"Ordered",IF(AND(I279&lt;&gt;"",J279&lt;&gt;"",L279&lt;&gt;"",R279&lt;&gt;"",T279&lt;&gt;"",X279&lt;&gt;""),"READY","Missing: "&amp;_xlfn.TEXTJOIN(", ",TRUE,IF(I279="","model",""),IF(J279="","finish",""),IF(L279="","qty",""),IF(R279="","supplier",""),IF(T279="","lead time",""),IF(X279="","approval","")))))</f>
        <v/>
      </c>
      <c r="AA279" s="54" t="str">
        <f>IF(C279="","",IF(OR(W279="Ordered",W279="Received",W279="Installed"),"",IF(AND(G279&lt;&gt;"",X279="",G279&lt;TODAY()),"DECISION OVERDUE",IF(V279="","",IF(V279&lt;TODAY(),"ORDER OVERDUE",IF(V279-TODAY()&lt;=14,"ORDER SOON",""))))))</f>
        <v/>
      </c>
      <c r="AB279" s="35" t="str">
        <f>IF(Q279="","",IF(AND(X279="",Q279&gt;0),Q279,""))</f>
        <v/>
      </c>
      <c r="AC279" s="59" t="n"/>
      <c r="AD279" s="59" t="n"/>
      <c r="AE279" s="60" t="str">
        <f>IF(AND(C279&lt;&gt;"",B279='Client Sign-Off'!$D$7),COUNTIFS($B$6:B279,'Client Sign-Off'!$D$7,$C$6:C279,"?*"),"")</f>
        <v/>
      </c>
    </row>
    <row r="280" ht="18" customHeight="1">
      <c r="A280" s="54" t="str">
        <f>IF(C280="","",ROW()-5)</f>
        <v/>
      </c>
      <c r="B280" s="40" t="n"/>
      <c r="C280" s="40" t="n"/>
      <c r="D280" s="40" t="n"/>
      <c r="E280" s="40" t="n"/>
      <c r="F280" s="40" t="n"/>
      <c r="G280" s="55" t="str">
        <f>IF(F280="","",IFERROR(IF(INDEX(Project!$C$24:$C$27,MATCH(F280,Project!$B$24:$B$27,0))="","",INDEX(Project!$C$24:$C$27,MATCH(F280,Project!$B$24:$B$27,0))),""))</f>
        <v/>
      </c>
      <c r="H280" s="40" t="n"/>
      <c r="I280" s="40" t="n"/>
      <c r="J280" s="40" t="n"/>
      <c r="K280" s="40" t="n"/>
      <c r="L280" s="56" t="n"/>
      <c r="M280" s="40" t="n"/>
      <c r="N280" s="57" t="n"/>
      <c r="O280" s="35" t="str">
        <f>IF(OR(L280="",N280=""),"",L280*N280)</f>
        <v/>
      </c>
      <c r="P280" s="43" t="n"/>
      <c r="Q280" s="36" t="str">
        <f>IF(OR(O280="",P280=""),"",O280-P280)</f>
        <v/>
      </c>
      <c r="R280" s="40" t="n"/>
      <c r="S280" s="40" t="n"/>
      <c r="T280" s="58" t="n"/>
      <c r="U280" s="42" t="n"/>
      <c r="V280" s="55" t="str">
        <f>IF(OR(U280="",T280=""),"",U280-T280)</f>
        <v/>
      </c>
      <c r="W280" s="40" t="n"/>
      <c r="X280" s="42" t="n"/>
      <c r="Y280" s="40" t="n"/>
      <c r="Z280" s="32" t="str">
        <f>IF(C280="","",IF(OR(W280="Ordered",W280="Received",W280="Installed"),"Ordered",IF(AND(I280&lt;&gt;"",J280&lt;&gt;"",L280&lt;&gt;"",R280&lt;&gt;"",T280&lt;&gt;"",X280&lt;&gt;""),"READY","Missing: "&amp;_xlfn.TEXTJOIN(", ",TRUE,IF(I280="","model",""),IF(J280="","finish",""),IF(L280="","qty",""),IF(R280="","supplier",""),IF(T280="","lead time",""),IF(X280="","approval","")))))</f>
        <v/>
      </c>
      <c r="AA280" s="54" t="str">
        <f>IF(C280="","",IF(OR(W280="Ordered",W280="Received",W280="Installed"),"",IF(AND(G280&lt;&gt;"",X280="",G280&lt;TODAY()),"DECISION OVERDUE",IF(V280="","",IF(V280&lt;TODAY(),"ORDER OVERDUE",IF(V280-TODAY()&lt;=14,"ORDER SOON",""))))))</f>
        <v/>
      </c>
      <c r="AB280" s="35" t="str">
        <f>IF(Q280="","",IF(AND(X280="",Q280&gt;0),Q280,""))</f>
        <v/>
      </c>
      <c r="AC280" s="59" t="n"/>
      <c r="AD280" s="59" t="n"/>
      <c r="AE280" s="60" t="str">
        <f>IF(AND(C280&lt;&gt;"",B280='Client Sign-Off'!$D$7),COUNTIFS($B$6:B280,'Client Sign-Off'!$D$7,$C$6:C280,"?*"),"")</f>
        <v/>
      </c>
    </row>
    <row r="281" ht="18" customHeight="1">
      <c r="A281" s="54" t="str">
        <f>IF(C281="","",ROW()-5)</f>
        <v/>
      </c>
      <c r="B281" s="40" t="n"/>
      <c r="C281" s="40" t="n"/>
      <c r="D281" s="40" t="n"/>
      <c r="E281" s="40" t="n"/>
      <c r="F281" s="40" t="n"/>
      <c r="G281" s="55" t="str">
        <f>IF(F281="","",IFERROR(IF(INDEX(Project!$C$24:$C$27,MATCH(F281,Project!$B$24:$B$27,0))="","",INDEX(Project!$C$24:$C$27,MATCH(F281,Project!$B$24:$B$27,0))),""))</f>
        <v/>
      </c>
      <c r="H281" s="40" t="n"/>
      <c r="I281" s="40" t="n"/>
      <c r="J281" s="40" t="n"/>
      <c r="K281" s="40" t="n"/>
      <c r="L281" s="56" t="n"/>
      <c r="M281" s="40" t="n"/>
      <c r="N281" s="57" t="n"/>
      <c r="O281" s="35" t="str">
        <f>IF(OR(L281="",N281=""),"",L281*N281)</f>
        <v/>
      </c>
      <c r="P281" s="43" t="n"/>
      <c r="Q281" s="36" t="str">
        <f>IF(OR(O281="",P281=""),"",O281-P281)</f>
        <v/>
      </c>
      <c r="R281" s="40" t="n"/>
      <c r="S281" s="40" t="n"/>
      <c r="T281" s="58" t="n"/>
      <c r="U281" s="42" t="n"/>
      <c r="V281" s="55" t="str">
        <f>IF(OR(U281="",T281=""),"",U281-T281)</f>
        <v/>
      </c>
      <c r="W281" s="40" t="n"/>
      <c r="X281" s="42" t="n"/>
      <c r="Y281" s="40" t="n"/>
      <c r="Z281" s="32" t="str">
        <f>IF(C281="","",IF(OR(W281="Ordered",W281="Received",W281="Installed"),"Ordered",IF(AND(I281&lt;&gt;"",J281&lt;&gt;"",L281&lt;&gt;"",R281&lt;&gt;"",T281&lt;&gt;"",X281&lt;&gt;""),"READY","Missing: "&amp;_xlfn.TEXTJOIN(", ",TRUE,IF(I281="","model",""),IF(J281="","finish",""),IF(L281="","qty",""),IF(R281="","supplier",""),IF(T281="","lead time",""),IF(X281="","approval","")))))</f>
        <v/>
      </c>
      <c r="AA281" s="54" t="str">
        <f>IF(C281="","",IF(OR(W281="Ordered",W281="Received",W281="Installed"),"",IF(AND(G281&lt;&gt;"",X281="",G281&lt;TODAY()),"DECISION OVERDUE",IF(V281="","",IF(V281&lt;TODAY(),"ORDER OVERDUE",IF(V281-TODAY()&lt;=14,"ORDER SOON",""))))))</f>
        <v/>
      </c>
      <c r="AB281" s="35" t="str">
        <f>IF(Q281="","",IF(AND(X281="",Q281&gt;0),Q281,""))</f>
        <v/>
      </c>
      <c r="AC281" s="59" t="n"/>
      <c r="AD281" s="59" t="n"/>
      <c r="AE281" s="60" t="str">
        <f>IF(AND(C281&lt;&gt;"",B281='Client Sign-Off'!$D$7),COUNTIFS($B$6:B281,'Client Sign-Off'!$D$7,$C$6:C281,"?*"),"")</f>
        <v/>
      </c>
    </row>
    <row r="282" ht="18" customHeight="1">
      <c r="A282" s="54" t="str">
        <f>IF(C282="","",ROW()-5)</f>
        <v/>
      </c>
      <c r="B282" s="40" t="n"/>
      <c r="C282" s="40" t="n"/>
      <c r="D282" s="40" t="n"/>
      <c r="E282" s="40" t="n"/>
      <c r="F282" s="40" t="n"/>
      <c r="G282" s="55" t="str">
        <f>IF(F282="","",IFERROR(IF(INDEX(Project!$C$24:$C$27,MATCH(F282,Project!$B$24:$B$27,0))="","",INDEX(Project!$C$24:$C$27,MATCH(F282,Project!$B$24:$B$27,0))),""))</f>
        <v/>
      </c>
      <c r="H282" s="40" t="n"/>
      <c r="I282" s="40" t="n"/>
      <c r="J282" s="40" t="n"/>
      <c r="K282" s="40" t="n"/>
      <c r="L282" s="56" t="n"/>
      <c r="M282" s="40" t="n"/>
      <c r="N282" s="57" t="n"/>
      <c r="O282" s="35" t="str">
        <f>IF(OR(L282="",N282=""),"",L282*N282)</f>
        <v/>
      </c>
      <c r="P282" s="43" t="n"/>
      <c r="Q282" s="36" t="str">
        <f>IF(OR(O282="",P282=""),"",O282-P282)</f>
        <v/>
      </c>
      <c r="R282" s="40" t="n"/>
      <c r="S282" s="40" t="n"/>
      <c r="T282" s="58" t="n"/>
      <c r="U282" s="42" t="n"/>
      <c r="V282" s="55" t="str">
        <f>IF(OR(U282="",T282=""),"",U282-T282)</f>
        <v/>
      </c>
      <c r="W282" s="40" t="n"/>
      <c r="X282" s="42" t="n"/>
      <c r="Y282" s="40" t="n"/>
      <c r="Z282" s="32" t="str">
        <f>IF(C282="","",IF(OR(W282="Ordered",W282="Received",W282="Installed"),"Ordered",IF(AND(I282&lt;&gt;"",J282&lt;&gt;"",L282&lt;&gt;"",R282&lt;&gt;"",T282&lt;&gt;"",X282&lt;&gt;""),"READY","Missing: "&amp;_xlfn.TEXTJOIN(", ",TRUE,IF(I282="","model",""),IF(J282="","finish",""),IF(L282="","qty",""),IF(R282="","supplier",""),IF(T282="","lead time",""),IF(X282="","approval","")))))</f>
        <v/>
      </c>
      <c r="AA282" s="54" t="str">
        <f>IF(C282="","",IF(OR(W282="Ordered",W282="Received",W282="Installed"),"",IF(AND(G282&lt;&gt;"",X282="",G282&lt;TODAY()),"DECISION OVERDUE",IF(V282="","",IF(V282&lt;TODAY(),"ORDER OVERDUE",IF(V282-TODAY()&lt;=14,"ORDER SOON",""))))))</f>
        <v/>
      </c>
      <c r="AB282" s="35" t="str">
        <f>IF(Q282="","",IF(AND(X282="",Q282&gt;0),Q282,""))</f>
        <v/>
      </c>
      <c r="AC282" s="59" t="n"/>
      <c r="AD282" s="59" t="n"/>
      <c r="AE282" s="60" t="str">
        <f>IF(AND(C282&lt;&gt;"",B282='Client Sign-Off'!$D$7),COUNTIFS($B$6:B282,'Client Sign-Off'!$D$7,$C$6:C282,"?*"),"")</f>
        <v/>
      </c>
    </row>
    <row r="283" ht="18" customHeight="1">
      <c r="A283" s="54" t="str">
        <f>IF(C283="","",ROW()-5)</f>
        <v/>
      </c>
      <c r="B283" s="40" t="n"/>
      <c r="C283" s="40" t="n"/>
      <c r="D283" s="40" t="n"/>
      <c r="E283" s="40" t="n"/>
      <c r="F283" s="40" t="n"/>
      <c r="G283" s="55" t="str">
        <f>IF(F283="","",IFERROR(IF(INDEX(Project!$C$24:$C$27,MATCH(F283,Project!$B$24:$B$27,0))="","",INDEX(Project!$C$24:$C$27,MATCH(F283,Project!$B$24:$B$27,0))),""))</f>
        <v/>
      </c>
      <c r="H283" s="40" t="n"/>
      <c r="I283" s="40" t="n"/>
      <c r="J283" s="40" t="n"/>
      <c r="K283" s="40" t="n"/>
      <c r="L283" s="56" t="n"/>
      <c r="M283" s="40" t="n"/>
      <c r="N283" s="57" t="n"/>
      <c r="O283" s="35" t="str">
        <f>IF(OR(L283="",N283=""),"",L283*N283)</f>
        <v/>
      </c>
      <c r="P283" s="43" t="n"/>
      <c r="Q283" s="36" t="str">
        <f>IF(OR(O283="",P283=""),"",O283-P283)</f>
        <v/>
      </c>
      <c r="R283" s="40" t="n"/>
      <c r="S283" s="40" t="n"/>
      <c r="T283" s="58" t="n"/>
      <c r="U283" s="42" t="n"/>
      <c r="V283" s="55" t="str">
        <f>IF(OR(U283="",T283=""),"",U283-T283)</f>
        <v/>
      </c>
      <c r="W283" s="40" t="n"/>
      <c r="X283" s="42" t="n"/>
      <c r="Y283" s="40" t="n"/>
      <c r="Z283" s="32" t="str">
        <f>IF(C283="","",IF(OR(W283="Ordered",W283="Received",W283="Installed"),"Ordered",IF(AND(I283&lt;&gt;"",J283&lt;&gt;"",L283&lt;&gt;"",R283&lt;&gt;"",T283&lt;&gt;"",X283&lt;&gt;""),"READY","Missing: "&amp;_xlfn.TEXTJOIN(", ",TRUE,IF(I283="","model",""),IF(J283="","finish",""),IF(L283="","qty",""),IF(R283="","supplier",""),IF(T283="","lead time",""),IF(X283="","approval","")))))</f>
        <v/>
      </c>
      <c r="AA283" s="54" t="str">
        <f>IF(C283="","",IF(OR(W283="Ordered",W283="Received",W283="Installed"),"",IF(AND(G283&lt;&gt;"",X283="",G283&lt;TODAY()),"DECISION OVERDUE",IF(V283="","",IF(V283&lt;TODAY(),"ORDER OVERDUE",IF(V283-TODAY()&lt;=14,"ORDER SOON",""))))))</f>
        <v/>
      </c>
      <c r="AB283" s="35" t="str">
        <f>IF(Q283="","",IF(AND(X283="",Q283&gt;0),Q283,""))</f>
        <v/>
      </c>
      <c r="AC283" s="59" t="n"/>
      <c r="AD283" s="59" t="n"/>
      <c r="AE283" s="60" t="str">
        <f>IF(AND(C283&lt;&gt;"",B283='Client Sign-Off'!$D$7),COUNTIFS($B$6:B283,'Client Sign-Off'!$D$7,$C$6:C283,"?*"),"")</f>
        <v/>
      </c>
    </row>
    <row r="284" ht="18" customHeight="1">
      <c r="A284" s="54" t="str">
        <f>IF(C284="","",ROW()-5)</f>
        <v/>
      </c>
      <c r="B284" s="40" t="n"/>
      <c r="C284" s="40" t="n"/>
      <c r="D284" s="40" t="n"/>
      <c r="E284" s="40" t="n"/>
      <c r="F284" s="40" t="n"/>
      <c r="G284" s="55" t="str">
        <f>IF(F284="","",IFERROR(IF(INDEX(Project!$C$24:$C$27,MATCH(F284,Project!$B$24:$B$27,0))="","",INDEX(Project!$C$24:$C$27,MATCH(F284,Project!$B$24:$B$27,0))),""))</f>
        <v/>
      </c>
      <c r="H284" s="40" t="n"/>
      <c r="I284" s="40" t="n"/>
      <c r="J284" s="40" t="n"/>
      <c r="K284" s="40" t="n"/>
      <c r="L284" s="56" t="n"/>
      <c r="M284" s="40" t="n"/>
      <c r="N284" s="57" t="n"/>
      <c r="O284" s="35" t="str">
        <f>IF(OR(L284="",N284=""),"",L284*N284)</f>
        <v/>
      </c>
      <c r="P284" s="43" t="n"/>
      <c r="Q284" s="36" t="str">
        <f>IF(OR(O284="",P284=""),"",O284-P284)</f>
        <v/>
      </c>
      <c r="R284" s="40" t="n"/>
      <c r="S284" s="40" t="n"/>
      <c r="T284" s="58" t="n"/>
      <c r="U284" s="42" t="n"/>
      <c r="V284" s="55" t="str">
        <f>IF(OR(U284="",T284=""),"",U284-T284)</f>
        <v/>
      </c>
      <c r="W284" s="40" t="n"/>
      <c r="X284" s="42" t="n"/>
      <c r="Y284" s="40" t="n"/>
      <c r="Z284" s="32" t="str">
        <f>IF(C284="","",IF(OR(W284="Ordered",W284="Received",W284="Installed"),"Ordered",IF(AND(I284&lt;&gt;"",J284&lt;&gt;"",L284&lt;&gt;"",R284&lt;&gt;"",T284&lt;&gt;"",X284&lt;&gt;""),"READY","Missing: "&amp;_xlfn.TEXTJOIN(", ",TRUE,IF(I284="","model",""),IF(J284="","finish",""),IF(L284="","qty",""),IF(R284="","supplier",""),IF(T284="","lead time",""),IF(X284="","approval","")))))</f>
        <v/>
      </c>
      <c r="AA284" s="54" t="str">
        <f>IF(C284="","",IF(OR(W284="Ordered",W284="Received",W284="Installed"),"",IF(AND(G284&lt;&gt;"",X284="",G284&lt;TODAY()),"DECISION OVERDUE",IF(V284="","",IF(V284&lt;TODAY(),"ORDER OVERDUE",IF(V284-TODAY()&lt;=14,"ORDER SOON",""))))))</f>
        <v/>
      </c>
      <c r="AB284" s="35" t="str">
        <f>IF(Q284="","",IF(AND(X284="",Q284&gt;0),Q284,""))</f>
        <v/>
      </c>
      <c r="AC284" s="59" t="n"/>
      <c r="AD284" s="59" t="n"/>
      <c r="AE284" s="60" t="str">
        <f>IF(AND(C284&lt;&gt;"",B284='Client Sign-Off'!$D$7),COUNTIFS($B$6:B284,'Client Sign-Off'!$D$7,$C$6:C284,"?*"),"")</f>
        <v/>
      </c>
    </row>
    <row r="285" ht="18" customHeight="1">
      <c r="A285" s="54" t="str">
        <f>IF(C285="","",ROW()-5)</f>
        <v/>
      </c>
      <c r="B285" s="40" t="n"/>
      <c r="C285" s="40" t="n"/>
      <c r="D285" s="40" t="n"/>
      <c r="E285" s="40" t="n"/>
      <c r="F285" s="40" t="n"/>
      <c r="G285" s="55" t="str">
        <f>IF(F285="","",IFERROR(IF(INDEX(Project!$C$24:$C$27,MATCH(F285,Project!$B$24:$B$27,0))="","",INDEX(Project!$C$24:$C$27,MATCH(F285,Project!$B$24:$B$27,0))),""))</f>
        <v/>
      </c>
      <c r="H285" s="40" t="n"/>
      <c r="I285" s="40" t="n"/>
      <c r="J285" s="40" t="n"/>
      <c r="K285" s="40" t="n"/>
      <c r="L285" s="56" t="n"/>
      <c r="M285" s="40" t="n"/>
      <c r="N285" s="57" t="n"/>
      <c r="O285" s="35" t="str">
        <f>IF(OR(L285="",N285=""),"",L285*N285)</f>
        <v/>
      </c>
      <c r="P285" s="43" t="n"/>
      <c r="Q285" s="36" t="str">
        <f>IF(OR(O285="",P285=""),"",O285-P285)</f>
        <v/>
      </c>
      <c r="R285" s="40" t="n"/>
      <c r="S285" s="40" t="n"/>
      <c r="T285" s="58" t="n"/>
      <c r="U285" s="42" t="n"/>
      <c r="V285" s="55" t="str">
        <f>IF(OR(U285="",T285=""),"",U285-T285)</f>
        <v/>
      </c>
      <c r="W285" s="40" t="n"/>
      <c r="X285" s="42" t="n"/>
      <c r="Y285" s="40" t="n"/>
      <c r="Z285" s="32" t="str">
        <f>IF(C285="","",IF(OR(W285="Ordered",W285="Received",W285="Installed"),"Ordered",IF(AND(I285&lt;&gt;"",J285&lt;&gt;"",L285&lt;&gt;"",R285&lt;&gt;"",T285&lt;&gt;"",X285&lt;&gt;""),"READY","Missing: "&amp;_xlfn.TEXTJOIN(", ",TRUE,IF(I285="","model",""),IF(J285="","finish",""),IF(L285="","qty",""),IF(R285="","supplier",""),IF(T285="","lead time",""),IF(X285="","approval","")))))</f>
        <v/>
      </c>
      <c r="AA285" s="54" t="str">
        <f>IF(C285="","",IF(OR(W285="Ordered",W285="Received",W285="Installed"),"",IF(AND(G285&lt;&gt;"",X285="",G285&lt;TODAY()),"DECISION OVERDUE",IF(V285="","",IF(V285&lt;TODAY(),"ORDER OVERDUE",IF(V285-TODAY()&lt;=14,"ORDER SOON",""))))))</f>
        <v/>
      </c>
      <c r="AB285" s="35" t="str">
        <f>IF(Q285="","",IF(AND(X285="",Q285&gt;0),Q285,""))</f>
        <v/>
      </c>
      <c r="AC285" s="59" t="n"/>
      <c r="AD285" s="59" t="n"/>
      <c r="AE285" s="60" t="str">
        <f>IF(AND(C285&lt;&gt;"",B285='Client Sign-Off'!$D$7),COUNTIFS($B$6:B285,'Client Sign-Off'!$D$7,$C$6:C285,"?*"),"")</f>
        <v/>
      </c>
    </row>
    <row r="286" ht="18" customHeight="1">
      <c r="A286" s="54" t="str">
        <f>IF(C286="","",ROW()-5)</f>
        <v/>
      </c>
      <c r="B286" s="40" t="n"/>
      <c r="C286" s="40" t="n"/>
      <c r="D286" s="40" t="n"/>
      <c r="E286" s="40" t="n"/>
      <c r="F286" s="40" t="n"/>
      <c r="G286" s="55" t="str">
        <f>IF(F286="","",IFERROR(IF(INDEX(Project!$C$24:$C$27,MATCH(F286,Project!$B$24:$B$27,0))="","",INDEX(Project!$C$24:$C$27,MATCH(F286,Project!$B$24:$B$27,0))),""))</f>
        <v/>
      </c>
      <c r="H286" s="40" t="n"/>
      <c r="I286" s="40" t="n"/>
      <c r="J286" s="40" t="n"/>
      <c r="K286" s="40" t="n"/>
      <c r="L286" s="56" t="n"/>
      <c r="M286" s="40" t="n"/>
      <c r="N286" s="57" t="n"/>
      <c r="O286" s="35" t="str">
        <f>IF(OR(L286="",N286=""),"",L286*N286)</f>
        <v/>
      </c>
      <c r="P286" s="43" t="n"/>
      <c r="Q286" s="36" t="str">
        <f>IF(OR(O286="",P286=""),"",O286-P286)</f>
        <v/>
      </c>
      <c r="R286" s="40" t="n"/>
      <c r="S286" s="40" t="n"/>
      <c r="T286" s="58" t="n"/>
      <c r="U286" s="42" t="n"/>
      <c r="V286" s="55" t="str">
        <f>IF(OR(U286="",T286=""),"",U286-T286)</f>
        <v/>
      </c>
      <c r="W286" s="40" t="n"/>
      <c r="X286" s="42" t="n"/>
      <c r="Y286" s="40" t="n"/>
      <c r="Z286" s="32" t="str">
        <f>IF(C286="","",IF(OR(W286="Ordered",W286="Received",W286="Installed"),"Ordered",IF(AND(I286&lt;&gt;"",J286&lt;&gt;"",L286&lt;&gt;"",R286&lt;&gt;"",T286&lt;&gt;"",X286&lt;&gt;""),"READY","Missing: "&amp;_xlfn.TEXTJOIN(", ",TRUE,IF(I286="","model",""),IF(J286="","finish",""),IF(L286="","qty",""),IF(R286="","supplier",""),IF(T286="","lead time",""),IF(X286="","approval","")))))</f>
        <v/>
      </c>
      <c r="AA286" s="54" t="str">
        <f>IF(C286="","",IF(OR(W286="Ordered",W286="Received",W286="Installed"),"",IF(AND(G286&lt;&gt;"",X286="",G286&lt;TODAY()),"DECISION OVERDUE",IF(V286="","",IF(V286&lt;TODAY(),"ORDER OVERDUE",IF(V286-TODAY()&lt;=14,"ORDER SOON",""))))))</f>
        <v/>
      </c>
      <c r="AB286" s="35" t="str">
        <f>IF(Q286="","",IF(AND(X286="",Q286&gt;0),Q286,""))</f>
        <v/>
      </c>
      <c r="AC286" s="59" t="n"/>
      <c r="AD286" s="59" t="n"/>
      <c r="AE286" s="60" t="str">
        <f>IF(AND(C286&lt;&gt;"",B286='Client Sign-Off'!$D$7),COUNTIFS($B$6:B286,'Client Sign-Off'!$D$7,$C$6:C286,"?*"),"")</f>
        <v/>
      </c>
    </row>
    <row r="287" ht="18" customHeight="1">
      <c r="A287" s="54" t="str">
        <f>IF(C287="","",ROW()-5)</f>
        <v/>
      </c>
      <c r="B287" s="40" t="n"/>
      <c r="C287" s="40" t="n"/>
      <c r="D287" s="40" t="n"/>
      <c r="E287" s="40" t="n"/>
      <c r="F287" s="40" t="n"/>
      <c r="G287" s="55" t="str">
        <f>IF(F287="","",IFERROR(IF(INDEX(Project!$C$24:$C$27,MATCH(F287,Project!$B$24:$B$27,0))="","",INDEX(Project!$C$24:$C$27,MATCH(F287,Project!$B$24:$B$27,0))),""))</f>
        <v/>
      </c>
      <c r="H287" s="40" t="n"/>
      <c r="I287" s="40" t="n"/>
      <c r="J287" s="40" t="n"/>
      <c r="K287" s="40" t="n"/>
      <c r="L287" s="56" t="n"/>
      <c r="M287" s="40" t="n"/>
      <c r="N287" s="57" t="n"/>
      <c r="O287" s="35" t="str">
        <f>IF(OR(L287="",N287=""),"",L287*N287)</f>
        <v/>
      </c>
      <c r="P287" s="43" t="n"/>
      <c r="Q287" s="36" t="str">
        <f>IF(OR(O287="",P287=""),"",O287-P287)</f>
        <v/>
      </c>
      <c r="R287" s="40" t="n"/>
      <c r="S287" s="40" t="n"/>
      <c r="T287" s="58" t="n"/>
      <c r="U287" s="42" t="n"/>
      <c r="V287" s="55" t="str">
        <f>IF(OR(U287="",T287=""),"",U287-T287)</f>
        <v/>
      </c>
      <c r="W287" s="40" t="n"/>
      <c r="X287" s="42" t="n"/>
      <c r="Y287" s="40" t="n"/>
      <c r="Z287" s="32" t="str">
        <f>IF(C287="","",IF(OR(W287="Ordered",W287="Received",W287="Installed"),"Ordered",IF(AND(I287&lt;&gt;"",J287&lt;&gt;"",L287&lt;&gt;"",R287&lt;&gt;"",T287&lt;&gt;"",X287&lt;&gt;""),"READY","Missing: "&amp;_xlfn.TEXTJOIN(", ",TRUE,IF(I287="","model",""),IF(J287="","finish",""),IF(L287="","qty",""),IF(R287="","supplier",""),IF(T287="","lead time",""),IF(X287="","approval","")))))</f>
        <v/>
      </c>
      <c r="AA287" s="54" t="str">
        <f>IF(C287="","",IF(OR(W287="Ordered",W287="Received",W287="Installed"),"",IF(AND(G287&lt;&gt;"",X287="",G287&lt;TODAY()),"DECISION OVERDUE",IF(V287="","",IF(V287&lt;TODAY(),"ORDER OVERDUE",IF(V287-TODAY()&lt;=14,"ORDER SOON",""))))))</f>
        <v/>
      </c>
      <c r="AB287" s="35" t="str">
        <f>IF(Q287="","",IF(AND(X287="",Q287&gt;0),Q287,""))</f>
        <v/>
      </c>
      <c r="AC287" s="59" t="n"/>
      <c r="AD287" s="59" t="n"/>
      <c r="AE287" s="60" t="str">
        <f>IF(AND(C287&lt;&gt;"",B287='Client Sign-Off'!$D$7),COUNTIFS($B$6:B287,'Client Sign-Off'!$D$7,$C$6:C287,"?*"),"")</f>
        <v/>
      </c>
    </row>
    <row r="288" ht="18" customHeight="1">
      <c r="A288" s="54" t="str">
        <f>IF(C288="","",ROW()-5)</f>
        <v/>
      </c>
      <c r="B288" s="40" t="n"/>
      <c r="C288" s="40" t="n"/>
      <c r="D288" s="40" t="n"/>
      <c r="E288" s="40" t="n"/>
      <c r="F288" s="40" t="n"/>
      <c r="G288" s="55" t="str">
        <f>IF(F288="","",IFERROR(IF(INDEX(Project!$C$24:$C$27,MATCH(F288,Project!$B$24:$B$27,0))="","",INDEX(Project!$C$24:$C$27,MATCH(F288,Project!$B$24:$B$27,0))),""))</f>
        <v/>
      </c>
      <c r="H288" s="40" t="n"/>
      <c r="I288" s="40" t="n"/>
      <c r="J288" s="40" t="n"/>
      <c r="K288" s="40" t="n"/>
      <c r="L288" s="56" t="n"/>
      <c r="M288" s="40" t="n"/>
      <c r="N288" s="57" t="n"/>
      <c r="O288" s="35" t="str">
        <f>IF(OR(L288="",N288=""),"",L288*N288)</f>
        <v/>
      </c>
      <c r="P288" s="43" t="n"/>
      <c r="Q288" s="36" t="str">
        <f>IF(OR(O288="",P288=""),"",O288-P288)</f>
        <v/>
      </c>
      <c r="R288" s="40" t="n"/>
      <c r="S288" s="40" t="n"/>
      <c r="T288" s="58" t="n"/>
      <c r="U288" s="42" t="n"/>
      <c r="V288" s="55" t="str">
        <f>IF(OR(U288="",T288=""),"",U288-T288)</f>
        <v/>
      </c>
      <c r="W288" s="40" t="n"/>
      <c r="X288" s="42" t="n"/>
      <c r="Y288" s="40" t="n"/>
      <c r="Z288" s="32" t="str">
        <f>IF(C288="","",IF(OR(W288="Ordered",W288="Received",W288="Installed"),"Ordered",IF(AND(I288&lt;&gt;"",J288&lt;&gt;"",L288&lt;&gt;"",R288&lt;&gt;"",T288&lt;&gt;"",X288&lt;&gt;""),"READY","Missing: "&amp;_xlfn.TEXTJOIN(", ",TRUE,IF(I288="","model",""),IF(J288="","finish",""),IF(L288="","qty",""),IF(R288="","supplier",""),IF(T288="","lead time",""),IF(X288="","approval","")))))</f>
        <v/>
      </c>
      <c r="AA288" s="54" t="str">
        <f>IF(C288="","",IF(OR(W288="Ordered",W288="Received",W288="Installed"),"",IF(AND(G288&lt;&gt;"",X288="",G288&lt;TODAY()),"DECISION OVERDUE",IF(V288="","",IF(V288&lt;TODAY(),"ORDER OVERDUE",IF(V288-TODAY()&lt;=14,"ORDER SOON",""))))))</f>
        <v/>
      </c>
      <c r="AB288" s="35" t="str">
        <f>IF(Q288="","",IF(AND(X288="",Q288&gt;0),Q288,""))</f>
        <v/>
      </c>
      <c r="AC288" s="59" t="n"/>
      <c r="AD288" s="59" t="n"/>
      <c r="AE288" s="60" t="str">
        <f>IF(AND(C288&lt;&gt;"",B288='Client Sign-Off'!$D$7),COUNTIFS($B$6:B288,'Client Sign-Off'!$D$7,$C$6:C288,"?*"),"")</f>
        <v/>
      </c>
    </row>
    <row r="289" ht="18" customHeight="1">
      <c r="A289" s="54" t="str">
        <f>IF(C289="","",ROW()-5)</f>
        <v/>
      </c>
      <c r="B289" s="40" t="n"/>
      <c r="C289" s="40" t="n"/>
      <c r="D289" s="40" t="n"/>
      <c r="E289" s="40" t="n"/>
      <c r="F289" s="40" t="n"/>
      <c r="G289" s="55" t="str">
        <f>IF(F289="","",IFERROR(IF(INDEX(Project!$C$24:$C$27,MATCH(F289,Project!$B$24:$B$27,0))="","",INDEX(Project!$C$24:$C$27,MATCH(F289,Project!$B$24:$B$27,0))),""))</f>
        <v/>
      </c>
      <c r="H289" s="40" t="n"/>
      <c r="I289" s="40" t="n"/>
      <c r="J289" s="40" t="n"/>
      <c r="K289" s="40" t="n"/>
      <c r="L289" s="56" t="n"/>
      <c r="M289" s="40" t="n"/>
      <c r="N289" s="57" t="n"/>
      <c r="O289" s="35" t="str">
        <f>IF(OR(L289="",N289=""),"",L289*N289)</f>
        <v/>
      </c>
      <c r="P289" s="43" t="n"/>
      <c r="Q289" s="36" t="str">
        <f>IF(OR(O289="",P289=""),"",O289-P289)</f>
        <v/>
      </c>
      <c r="R289" s="40" t="n"/>
      <c r="S289" s="40" t="n"/>
      <c r="T289" s="58" t="n"/>
      <c r="U289" s="42" t="n"/>
      <c r="V289" s="55" t="str">
        <f>IF(OR(U289="",T289=""),"",U289-T289)</f>
        <v/>
      </c>
      <c r="W289" s="40" t="n"/>
      <c r="X289" s="42" t="n"/>
      <c r="Y289" s="40" t="n"/>
      <c r="Z289" s="32" t="str">
        <f>IF(C289="","",IF(OR(W289="Ordered",W289="Received",W289="Installed"),"Ordered",IF(AND(I289&lt;&gt;"",J289&lt;&gt;"",L289&lt;&gt;"",R289&lt;&gt;"",T289&lt;&gt;"",X289&lt;&gt;""),"READY","Missing: "&amp;_xlfn.TEXTJOIN(", ",TRUE,IF(I289="","model",""),IF(J289="","finish",""),IF(L289="","qty",""),IF(R289="","supplier",""),IF(T289="","lead time",""),IF(X289="","approval","")))))</f>
        <v/>
      </c>
      <c r="AA289" s="54" t="str">
        <f>IF(C289="","",IF(OR(W289="Ordered",W289="Received",W289="Installed"),"",IF(AND(G289&lt;&gt;"",X289="",G289&lt;TODAY()),"DECISION OVERDUE",IF(V289="","",IF(V289&lt;TODAY(),"ORDER OVERDUE",IF(V289-TODAY()&lt;=14,"ORDER SOON",""))))))</f>
        <v/>
      </c>
      <c r="AB289" s="35" t="str">
        <f>IF(Q289="","",IF(AND(X289="",Q289&gt;0),Q289,""))</f>
        <v/>
      </c>
      <c r="AC289" s="59" t="n"/>
      <c r="AD289" s="59" t="n"/>
      <c r="AE289" s="60" t="str">
        <f>IF(AND(C289&lt;&gt;"",B289='Client Sign-Off'!$D$7),COUNTIFS($B$6:B289,'Client Sign-Off'!$D$7,$C$6:C289,"?*"),"")</f>
        <v/>
      </c>
    </row>
    <row r="290" ht="18" customHeight="1">
      <c r="A290" s="54" t="str">
        <f>IF(C290="","",ROW()-5)</f>
        <v/>
      </c>
      <c r="B290" s="40" t="n"/>
      <c r="C290" s="40" t="n"/>
      <c r="D290" s="40" t="n"/>
      <c r="E290" s="40" t="n"/>
      <c r="F290" s="40" t="n"/>
      <c r="G290" s="55" t="str">
        <f>IF(F290="","",IFERROR(IF(INDEX(Project!$C$24:$C$27,MATCH(F290,Project!$B$24:$B$27,0))="","",INDEX(Project!$C$24:$C$27,MATCH(F290,Project!$B$24:$B$27,0))),""))</f>
        <v/>
      </c>
      <c r="H290" s="40" t="n"/>
      <c r="I290" s="40" t="n"/>
      <c r="J290" s="40" t="n"/>
      <c r="K290" s="40" t="n"/>
      <c r="L290" s="56" t="n"/>
      <c r="M290" s="40" t="n"/>
      <c r="N290" s="57" t="n"/>
      <c r="O290" s="35" t="str">
        <f>IF(OR(L290="",N290=""),"",L290*N290)</f>
        <v/>
      </c>
      <c r="P290" s="43" t="n"/>
      <c r="Q290" s="36" t="str">
        <f>IF(OR(O290="",P290=""),"",O290-P290)</f>
        <v/>
      </c>
      <c r="R290" s="40" t="n"/>
      <c r="S290" s="40" t="n"/>
      <c r="T290" s="58" t="n"/>
      <c r="U290" s="42" t="n"/>
      <c r="V290" s="55" t="str">
        <f>IF(OR(U290="",T290=""),"",U290-T290)</f>
        <v/>
      </c>
      <c r="W290" s="40" t="n"/>
      <c r="X290" s="42" t="n"/>
      <c r="Y290" s="40" t="n"/>
      <c r="Z290" s="32" t="str">
        <f>IF(C290="","",IF(OR(W290="Ordered",W290="Received",W290="Installed"),"Ordered",IF(AND(I290&lt;&gt;"",J290&lt;&gt;"",L290&lt;&gt;"",R290&lt;&gt;"",T290&lt;&gt;"",X290&lt;&gt;""),"READY","Missing: "&amp;_xlfn.TEXTJOIN(", ",TRUE,IF(I290="","model",""),IF(J290="","finish",""),IF(L290="","qty",""),IF(R290="","supplier",""),IF(T290="","lead time",""),IF(X290="","approval","")))))</f>
        <v/>
      </c>
      <c r="AA290" s="54" t="str">
        <f>IF(C290="","",IF(OR(W290="Ordered",W290="Received",W290="Installed"),"",IF(AND(G290&lt;&gt;"",X290="",G290&lt;TODAY()),"DECISION OVERDUE",IF(V290="","",IF(V290&lt;TODAY(),"ORDER OVERDUE",IF(V290-TODAY()&lt;=14,"ORDER SOON",""))))))</f>
        <v/>
      </c>
      <c r="AB290" s="35" t="str">
        <f>IF(Q290="","",IF(AND(X290="",Q290&gt;0),Q290,""))</f>
        <v/>
      </c>
      <c r="AC290" s="59" t="n"/>
      <c r="AD290" s="59" t="n"/>
      <c r="AE290" s="60" t="str">
        <f>IF(AND(C290&lt;&gt;"",B290='Client Sign-Off'!$D$7),COUNTIFS($B$6:B290,'Client Sign-Off'!$D$7,$C$6:C290,"?*"),"")</f>
        <v/>
      </c>
    </row>
    <row r="291" ht="18" customHeight="1">
      <c r="A291" s="54" t="str">
        <f>IF(C291="","",ROW()-5)</f>
        <v/>
      </c>
      <c r="B291" s="40" t="n"/>
      <c r="C291" s="40" t="n"/>
      <c r="D291" s="40" t="n"/>
      <c r="E291" s="40" t="n"/>
      <c r="F291" s="40" t="n"/>
      <c r="G291" s="55" t="str">
        <f>IF(F291="","",IFERROR(IF(INDEX(Project!$C$24:$C$27,MATCH(F291,Project!$B$24:$B$27,0))="","",INDEX(Project!$C$24:$C$27,MATCH(F291,Project!$B$24:$B$27,0))),""))</f>
        <v/>
      </c>
      <c r="H291" s="40" t="n"/>
      <c r="I291" s="40" t="n"/>
      <c r="J291" s="40" t="n"/>
      <c r="K291" s="40" t="n"/>
      <c r="L291" s="56" t="n"/>
      <c r="M291" s="40" t="n"/>
      <c r="N291" s="57" t="n"/>
      <c r="O291" s="35" t="str">
        <f>IF(OR(L291="",N291=""),"",L291*N291)</f>
        <v/>
      </c>
      <c r="P291" s="43" t="n"/>
      <c r="Q291" s="36" t="str">
        <f>IF(OR(O291="",P291=""),"",O291-P291)</f>
        <v/>
      </c>
      <c r="R291" s="40" t="n"/>
      <c r="S291" s="40" t="n"/>
      <c r="T291" s="58" t="n"/>
      <c r="U291" s="42" t="n"/>
      <c r="V291" s="55" t="str">
        <f>IF(OR(U291="",T291=""),"",U291-T291)</f>
        <v/>
      </c>
      <c r="W291" s="40" t="n"/>
      <c r="X291" s="42" t="n"/>
      <c r="Y291" s="40" t="n"/>
      <c r="Z291" s="32" t="str">
        <f>IF(C291="","",IF(OR(W291="Ordered",W291="Received",W291="Installed"),"Ordered",IF(AND(I291&lt;&gt;"",J291&lt;&gt;"",L291&lt;&gt;"",R291&lt;&gt;"",T291&lt;&gt;"",X291&lt;&gt;""),"READY","Missing: "&amp;_xlfn.TEXTJOIN(", ",TRUE,IF(I291="","model",""),IF(J291="","finish",""),IF(L291="","qty",""),IF(R291="","supplier",""),IF(T291="","lead time",""),IF(X291="","approval","")))))</f>
        <v/>
      </c>
      <c r="AA291" s="54" t="str">
        <f>IF(C291="","",IF(OR(W291="Ordered",W291="Received",W291="Installed"),"",IF(AND(G291&lt;&gt;"",X291="",G291&lt;TODAY()),"DECISION OVERDUE",IF(V291="","",IF(V291&lt;TODAY(),"ORDER OVERDUE",IF(V291-TODAY()&lt;=14,"ORDER SOON",""))))))</f>
        <v/>
      </c>
      <c r="AB291" s="35" t="str">
        <f>IF(Q291="","",IF(AND(X291="",Q291&gt;0),Q291,""))</f>
        <v/>
      </c>
      <c r="AC291" s="59" t="n"/>
      <c r="AD291" s="59" t="n"/>
      <c r="AE291" s="60" t="str">
        <f>IF(AND(C291&lt;&gt;"",B291='Client Sign-Off'!$D$7),COUNTIFS($B$6:B291,'Client Sign-Off'!$D$7,$C$6:C291,"?*"),"")</f>
        <v/>
      </c>
    </row>
    <row r="292" ht="18" customHeight="1">
      <c r="A292" s="54" t="str">
        <f>IF(C292="","",ROW()-5)</f>
        <v/>
      </c>
      <c r="B292" s="40" t="n"/>
      <c r="C292" s="40" t="n"/>
      <c r="D292" s="40" t="n"/>
      <c r="E292" s="40" t="n"/>
      <c r="F292" s="40" t="n"/>
      <c r="G292" s="55" t="str">
        <f>IF(F292="","",IFERROR(IF(INDEX(Project!$C$24:$C$27,MATCH(F292,Project!$B$24:$B$27,0))="","",INDEX(Project!$C$24:$C$27,MATCH(F292,Project!$B$24:$B$27,0))),""))</f>
        <v/>
      </c>
      <c r="H292" s="40" t="n"/>
      <c r="I292" s="40" t="n"/>
      <c r="J292" s="40" t="n"/>
      <c r="K292" s="40" t="n"/>
      <c r="L292" s="56" t="n"/>
      <c r="M292" s="40" t="n"/>
      <c r="N292" s="57" t="n"/>
      <c r="O292" s="35" t="str">
        <f>IF(OR(L292="",N292=""),"",L292*N292)</f>
        <v/>
      </c>
      <c r="P292" s="43" t="n"/>
      <c r="Q292" s="36" t="str">
        <f>IF(OR(O292="",P292=""),"",O292-P292)</f>
        <v/>
      </c>
      <c r="R292" s="40" t="n"/>
      <c r="S292" s="40" t="n"/>
      <c r="T292" s="58" t="n"/>
      <c r="U292" s="42" t="n"/>
      <c r="V292" s="55" t="str">
        <f>IF(OR(U292="",T292=""),"",U292-T292)</f>
        <v/>
      </c>
      <c r="W292" s="40" t="n"/>
      <c r="X292" s="42" t="n"/>
      <c r="Y292" s="40" t="n"/>
      <c r="Z292" s="32" t="str">
        <f>IF(C292="","",IF(OR(W292="Ordered",W292="Received",W292="Installed"),"Ordered",IF(AND(I292&lt;&gt;"",J292&lt;&gt;"",L292&lt;&gt;"",R292&lt;&gt;"",T292&lt;&gt;"",X292&lt;&gt;""),"READY","Missing: "&amp;_xlfn.TEXTJOIN(", ",TRUE,IF(I292="","model",""),IF(J292="","finish",""),IF(L292="","qty",""),IF(R292="","supplier",""),IF(T292="","lead time",""),IF(X292="","approval","")))))</f>
        <v/>
      </c>
      <c r="AA292" s="54" t="str">
        <f>IF(C292="","",IF(OR(W292="Ordered",W292="Received",W292="Installed"),"",IF(AND(G292&lt;&gt;"",X292="",G292&lt;TODAY()),"DECISION OVERDUE",IF(V292="","",IF(V292&lt;TODAY(),"ORDER OVERDUE",IF(V292-TODAY()&lt;=14,"ORDER SOON",""))))))</f>
        <v/>
      </c>
      <c r="AB292" s="35" t="str">
        <f>IF(Q292="","",IF(AND(X292="",Q292&gt;0),Q292,""))</f>
        <v/>
      </c>
      <c r="AC292" s="59" t="n"/>
      <c r="AD292" s="59" t="n"/>
      <c r="AE292" s="60" t="str">
        <f>IF(AND(C292&lt;&gt;"",B292='Client Sign-Off'!$D$7),COUNTIFS($B$6:B292,'Client Sign-Off'!$D$7,$C$6:C292,"?*"),"")</f>
        <v/>
      </c>
    </row>
    <row r="293" ht="18" customHeight="1">
      <c r="A293" s="54" t="str">
        <f>IF(C293="","",ROW()-5)</f>
        <v/>
      </c>
      <c r="B293" s="40" t="n"/>
      <c r="C293" s="40" t="n"/>
      <c r="D293" s="40" t="n"/>
      <c r="E293" s="40" t="n"/>
      <c r="F293" s="40" t="n"/>
      <c r="G293" s="55" t="str">
        <f>IF(F293="","",IFERROR(IF(INDEX(Project!$C$24:$C$27,MATCH(F293,Project!$B$24:$B$27,0))="","",INDEX(Project!$C$24:$C$27,MATCH(F293,Project!$B$24:$B$27,0))),""))</f>
        <v/>
      </c>
      <c r="H293" s="40" t="n"/>
      <c r="I293" s="40" t="n"/>
      <c r="J293" s="40" t="n"/>
      <c r="K293" s="40" t="n"/>
      <c r="L293" s="56" t="n"/>
      <c r="M293" s="40" t="n"/>
      <c r="N293" s="57" t="n"/>
      <c r="O293" s="35" t="str">
        <f>IF(OR(L293="",N293=""),"",L293*N293)</f>
        <v/>
      </c>
      <c r="P293" s="43" t="n"/>
      <c r="Q293" s="36" t="str">
        <f>IF(OR(O293="",P293=""),"",O293-P293)</f>
        <v/>
      </c>
      <c r="R293" s="40" t="n"/>
      <c r="S293" s="40" t="n"/>
      <c r="T293" s="58" t="n"/>
      <c r="U293" s="42" t="n"/>
      <c r="V293" s="55" t="str">
        <f>IF(OR(U293="",T293=""),"",U293-T293)</f>
        <v/>
      </c>
      <c r="W293" s="40" t="n"/>
      <c r="X293" s="42" t="n"/>
      <c r="Y293" s="40" t="n"/>
      <c r="Z293" s="32" t="str">
        <f>IF(C293="","",IF(OR(W293="Ordered",W293="Received",W293="Installed"),"Ordered",IF(AND(I293&lt;&gt;"",J293&lt;&gt;"",L293&lt;&gt;"",R293&lt;&gt;"",T293&lt;&gt;"",X293&lt;&gt;""),"READY","Missing: "&amp;_xlfn.TEXTJOIN(", ",TRUE,IF(I293="","model",""),IF(J293="","finish",""),IF(L293="","qty",""),IF(R293="","supplier",""),IF(T293="","lead time",""),IF(X293="","approval","")))))</f>
        <v/>
      </c>
      <c r="AA293" s="54" t="str">
        <f>IF(C293="","",IF(OR(W293="Ordered",W293="Received",W293="Installed"),"",IF(AND(G293&lt;&gt;"",X293="",G293&lt;TODAY()),"DECISION OVERDUE",IF(V293="","",IF(V293&lt;TODAY(),"ORDER OVERDUE",IF(V293-TODAY()&lt;=14,"ORDER SOON",""))))))</f>
        <v/>
      </c>
      <c r="AB293" s="35" t="str">
        <f>IF(Q293="","",IF(AND(X293="",Q293&gt;0),Q293,""))</f>
        <v/>
      </c>
      <c r="AC293" s="59" t="n"/>
      <c r="AD293" s="59" t="n"/>
      <c r="AE293" s="60" t="str">
        <f>IF(AND(C293&lt;&gt;"",B293='Client Sign-Off'!$D$7),COUNTIFS($B$6:B293,'Client Sign-Off'!$D$7,$C$6:C293,"?*"),"")</f>
        <v/>
      </c>
    </row>
    <row r="294" ht="18" customHeight="1">
      <c r="A294" s="54" t="str">
        <f>IF(C294="","",ROW()-5)</f>
        <v/>
      </c>
      <c r="B294" s="40" t="n"/>
      <c r="C294" s="40" t="n"/>
      <c r="D294" s="40" t="n"/>
      <c r="E294" s="40" t="n"/>
      <c r="F294" s="40" t="n"/>
      <c r="G294" s="55" t="str">
        <f>IF(F294="","",IFERROR(IF(INDEX(Project!$C$24:$C$27,MATCH(F294,Project!$B$24:$B$27,0))="","",INDEX(Project!$C$24:$C$27,MATCH(F294,Project!$B$24:$B$27,0))),""))</f>
        <v/>
      </c>
      <c r="H294" s="40" t="n"/>
      <c r="I294" s="40" t="n"/>
      <c r="J294" s="40" t="n"/>
      <c r="K294" s="40" t="n"/>
      <c r="L294" s="56" t="n"/>
      <c r="M294" s="40" t="n"/>
      <c r="N294" s="57" t="n"/>
      <c r="O294" s="35" t="str">
        <f>IF(OR(L294="",N294=""),"",L294*N294)</f>
        <v/>
      </c>
      <c r="P294" s="43" t="n"/>
      <c r="Q294" s="36" t="str">
        <f>IF(OR(O294="",P294=""),"",O294-P294)</f>
        <v/>
      </c>
      <c r="R294" s="40" t="n"/>
      <c r="S294" s="40" t="n"/>
      <c r="T294" s="58" t="n"/>
      <c r="U294" s="42" t="n"/>
      <c r="V294" s="55" t="str">
        <f>IF(OR(U294="",T294=""),"",U294-T294)</f>
        <v/>
      </c>
      <c r="W294" s="40" t="n"/>
      <c r="X294" s="42" t="n"/>
      <c r="Y294" s="40" t="n"/>
      <c r="Z294" s="32" t="str">
        <f>IF(C294="","",IF(OR(W294="Ordered",W294="Received",W294="Installed"),"Ordered",IF(AND(I294&lt;&gt;"",J294&lt;&gt;"",L294&lt;&gt;"",R294&lt;&gt;"",T294&lt;&gt;"",X294&lt;&gt;""),"READY","Missing: "&amp;_xlfn.TEXTJOIN(", ",TRUE,IF(I294="","model",""),IF(J294="","finish",""),IF(L294="","qty",""),IF(R294="","supplier",""),IF(T294="","lead time",""),IF(X294="","approval","")))))</f>
        <v/>
      </c>
      <c r="AA294" s="54" t="str">
        <f>IF(C294="","",IF(OR(W294="Ordered",W294="Received",W294="Installed"),"",IF(AND(G294&lt;&gt;"",X294="",G294&lt;TODAY()),"DECISION OVERDUE",IF(V294="","",IF(V294&lt;TODAY(),"ORDER OVERDUE",IF(V294-TODAY()&lt;=14,"ORDER SOON",""))))))</f>
        <v/>
      </c>
      <c r="AB294" s="35" t="str">
        <f>IF(Q294="","",IF(AND(X294="",Q294&gt;0),Q294,""))</f>
        <v/>
      </c>
      <c r="AC294" s="59" t="n"/>
      <c r="AD294" s="59" t="n"/>
      <c r="AE294" s="60" t="str">
        <f>IF(AND(C294&lt;&gt;"",B294='Client Sign-Off'!$D$7),COUNTIFS($B$6:B294,'Client Sign-Off'!$D$7,$C$6:C294,"?*"),"")</f>
        <v/>
      </c>
    </row>
    <row r="295" ht="18" customHeight="1">
      <c r="A295" s="54" t="str">
        <f>IF(C295="","",ROW()-5)</f>
        <v/>
      </c>
      <c r="B295" s="40" t="n"/>
      <c r="C295" s="40" t="n"/>
      <c r="D295" s="40" t="n"/>
      <c r="E295" s="40" t="n"/>
      <c r="F295" s="40" t="n"/>
      <c r="G295" s="55" t="str">
        <f>IF(F295="","",IFERROR(IF(INDEX(Project!$C$24:$C$27,MATCH(F295,Project!$B$24:$B$27,0))="","",INDEX(Project!$C$24:$C$27,MATCH(F295,Project!$B$24:$B$27,0))),""))</f>
        <v/>
      </c>
      <c r="H295" s="40" t="n"/>
      <c r="I295" s="40" t="n"/>
      <c r="J295" s="40" t="n"/>
      <c r="K295" s="40" t="n"/>
      <c r="L295" s="56" t="n"/>
      <c r="M295" s="40" t="n"/>
      <c r="N295" s="57" t="n"/>
      <c r="O295" s="35" t="str">
        <f>IF(OR(L295="",N295=""),"",L295*N295)</f>
        <v/>
      </c>
      <c r="P295" s="43" t="n"/>
      <c r="Q295" s="36" t="str">
        <f>IF(OR(O295="",P295=""),"",O295-P295)</f>
        <v/>
      </c>
      <c r="R295" s="40" t="n"/>
      <c r="S295" s="40" t="n"/>
      <c r="T295" s="58" t="n"/>
      <c r="U295" s="42" t="n"/>
      <c r="V295" s="55" t="str">
        <f>IF(OR(U295="",T295=""),"",U295-T295)</f>
        <v/>
      </c>
      <c r="W295" s="40" t="n"/>
      <c r="X295" s="42" t="n"/>
      <c r="Y295" s="40" t="n"/>
      <c r="Z295" s="32" t="str">
        <f>IF(C295="","",IF(OR(W295="Ordered",W295="Received",W295="Installed"),"Ordered",IF(AND(I295&lt;&gt;"",J295&lt;&gt;"",L295&lt;&gt;"",R295&lt;&gt;"",T295&lt;&gt;"",X295&lt;&gt;""),"READY","Missing: "&amp;_xlfn.TEXTJOIN(", ",TRUE,IF(I295="","model",""),IF(J295="","finish",""),IF(L295="","qty",""),IF(R295="","supplier",""),IF(T295="","lead time",""),IF(X295="","approval","")))))</f>
        <v/>
      </c>
      <c r="AA295" s="54" t="str">
        <f>IF(C295="","",IF(OR(W295="Ordered",W295="Received",W295="Installed"),"",IF(AND(G295&lt;&gt;"",X295="",G295&lt;TODAY()),"DECISION OVERDUE",IF(V295="","",IF(V295&lt;TODAY(),"ORDER OVERDUE",IF(V295-TODAY()&lt;=14,"ORDER SOON",""))))))</f>
        <v/>
      </c>
      <c r="AB295" s="35" t="str">
        <f>IF(Q295="","",IF(AND(X295="",Q295&gt;0),Q295,""))</f>
        <v/>
      </c>
      <c r="AC295" s="59" t="n"/>
      <c r="AD295" s="59" t="n"/>
      <c r="AE295" s="60" t="str">
        <f>IF(AND(C295&lt;&gt;"",B295='Client Sign-Off'!$D$7),COUNTIFS($B$6:B295,'Client Sign-Off'!$D$7,$C$6:C295,"?*"),"")</f>
        <v/>
      </c>
    </row>
    <row r="296" ht="18" customHeight="1">
      <c r="A296" s="54" t="str">
        <f>IF(C296="","",ROW()-5)</f>
        <v/>
      </c>
      <c r="B296" s="40" t="n"/>
      <c r="C296" s="40" t="n"/>
      <c r="D296" s="40" t="n"/>
      <c r="E296" s="40" t="n"/>
      <c r="F296" s="40" t="n"/>
      <c r="G296" s="55" t="str">
        <f>IF(F296="","",IFERROR(IF(INDEX(Project!$C$24:$C$27,MATCH(F296,Project!$B$24:$B$27,0))="","",INDEX(Project!$C$24:$C$27,MATCH(F296,Project!$B$24:$B$27,0))),""))</f>
        <v/>
      </c>
      <c r="H296" s="40" t="n"/>
      <c r="I296" s="40" t="n"/>
      <c r="J296" s="40" t="n"/>
      <c r="K296" s="40" t="n"/>
      <c r="L296" s="56" t="n"/>
      <c r="M296" s="40" t="n"/>
      <c r="N296" s="57" t="n"/>
      <c r="O296" s="35" t="str">
        <f>IF(OR(L296="",N296=""),"",L296*N296)</f>
        <v/>
      </c>
      <c r="P296" s="43" t="n"/>
      <c r="Q296" s="36" t="str">
        <f>IF(OR(O296="",P296=""),"",O296-P296)</f>
        <v/>
      </c>
      <c r="R296" s="40" t="n"/>
      <c r="S296" s="40" t="n"/>
      <c r="T296" s="58" t="n"/>
      <c r="U296" s="42" t="n"/>
      <c r="V296" s="55" t="str">
        <f>IF(OR(U296="",T296=""),"",U296-T296)</f>
        <v/>
      </c>
      <c r="W296" s="40" t="n"/>
      <c r="X296" s="42" t="n"/>
      <c r="Y296" s="40" t="n"/>
      <c r="Z296" s="32" t="str">
        <f>IF(C296="","",IF(OR(W296="Ordered",W296="Received",W296="Installed"),"Ordered",IF(AND(I296&lt;&gt;"",J296&lt;&gt;"",L296&lt;&gt;"",R296&lt;&gt;"",T296&lt;&gt;"",X296&lt;&gt;""),"READY","Missing: "&amp;_xlfn.TEXTJOIN(", ",TRUE,IF(I296="","model",""),IF(J296="","finish",""),IF(L296="","qty",""),IF(R296="","supplier",""),IF(T296="","lead time",""),IF(X296="","approval","")))))</f>
        <v/>
      </c>
      <c r="AA296" s="54" t="str">
        <f>IF(C296="","",IF(OR(W296="Ordered",W296="Received",W296="Installed"),"",IF(AND(G296&lt;&gt;"",X296="",G296&lt;TODAY()),"DECISION OVERDUE",IF(V296="","",IF(V296&lt;TODAY(),"ORDER OVERDUE",IF(V296-TODAY()&lt;=14,"ORDER SOON",""))))))</f>
        <v/>
      </c>
      <c r="AB296" s="35" t="str">
        <f>IF(Q296="","",IF(AND(X296="",Q296&gt;0),Q296,""))</f>
        <v/>
      </c>
      <c r="AC296" s="59" t="n"/>
      <c r="AD296" s="59" t="n"/>
      <c r="AE296" s="60" t="str">
        <f>IF(AND(C296&lt;&gt;"",B296='Client Sign-Off'!$D$7),COUNTIFS($B$6:B296,'Client Sign-Off'!$D$7,$C$6:C296,"?*"),"")</f>
        <v/>
      </c>
    </row>
    <row r="297" ht="18" customHeight="1">
      <c r="A297" s="54" t="str">
        <f>IF(C297="","",ROW()-5)</f>
        <v/>
      </c>
      <c r="B297" s="40" t="n"/>
      <c r="C297" s="40" t="n"/>
      <c r="D297" s="40" t="n"/>
      <c r="E297" s="40" t="n"/>
      <c r="F297" s="40" t="n"/>
      <c r="G297" s="55" t="str">
        <f>IF(F297="","",IFERROR(IF(INDEX(Project!$C$24:$C$27,MATCH(F297,Project!$B$24:$B$27,0))="","",INDEX(Project!$C$24:$C$27,MATCH(F297,Project!$B$24:$B$27,0))),""))</f>
        <v/>
      </c>
      <c r="H297" s="40" t="n"/>
      <c r="I297" s="40" t="n"/>
      <c r="J297" s="40" t="n"/>
      <c r="K297" s="40" t="n"/>
      <c r="L297" s="56" t="n"/>
      <c r="M297" s="40" t="n"/>
      <c r="N297" s="57" t="n"/>
      <c r="O297" s="35" t="str">
        <f>IF(OR(L297="",N297=""),"",L297*N297)</f>
        <v/>
      </c>
      <c r="P297" s="43" t="n"/>
      <c r="Q297" s="36" t="str">
        <f>IF(OR(O297="",P297=""),"",O297-P297)</f>
        <v/>
      </c>
      <c r="R297" s="40" t="n"/>
      <c r="S297" s="40" t="n"/>
      <c r="T297" s="58" t="n"/>
      <c r="U297" s="42" t="n"/>
      <c r="V297" s="55" t="str">
        <f>IF(OR(U297="",T297=""),"",U297-T297)</f>
        <v/>
      </c>
      <c r="W297" s="40" t="n"/>
      <c r="X297" s="42" t="n"/>
      <c r="Y297" s="40" t="n"/>
      <c r="Z297" s="32" t="str">
        <f>IF(C297="","",IF(OR(W297="Ordered",W297="Received",W297="Installed"),"Ordered",IF(AND(I297&lt;&gt;"",J297&lt;&gt;"",L297&lt;&gt;"",R297&lt;&gt;"",T297&lt;&gt;"",X297&lt;&gt;""),"READY","Missing: "&amp;_xlfn.TEXTJOIN(", ",TRUE,IF(I297="","model",""),IF(J297="","finish",""),IF(L297="","qty",""),IF(R297="","supplier",""),IF(T297="","lead time",""),IF(X297="","approval","")))))</f>
        <v/>
      </c>
      <c r="AA297" s="54" t="str">
        <f>IF(C297="","",IF(OR(W297="Ordered",W297="Received",W297="Installed"),"",IF(AND(G297&lt;&gt;"",X297="",G297&lt;TODAY()),"DECISION OVERDUE",IF(V297="","",IF(V297&lt;TODAY(),"ORDER OVERDUE",IF(V297-TODAY()&lt;=14,"ORDER SOON",""))))))</f>
        <v/>
      </c>
      <c r="AB297" s="35" t="str">
        <f>IF(Q297="","",IF(AND(X297="",Q297&gt;0),Q297,""))</f>
        <v/>
      </c>
      <c r="AC297" s="59" t="n"/>
      <c r="AD297" s="59" t="n"/>
      <c r="AE297" s="60" t="str">
        <f>IF(AND(C297&lt;&gt;"",B297='Client Sign-Off'!$D$7),COUNTIFS($B$6:B297,'Client Sign-Off'!$D$7,$C$6:C297,"?*"),"")</f>
        <v/>
      </c>
    </row>
    <row r="298" ht="18" customHeight="1">
      <c r="A298" s="54" t="str">
        <f>IF(C298="","",ROW()-5)</f>
        <v/>
      </c>
      <c r="B298" s="40" t="n"/>
      <c r="C298" s="40" t="n"/>
      <c r="D298" s="40" t="n"/>
      <c r="E298" s="40" t="n"/>
      <c r="F298" s="40" t="n"/>
      <c r="G298" s="55" t="str">
        <f>IF(F298="","",IFERROR(IF(INDEX(Project!$C$24:$C$27,MATCH(F298,Project!$B$24:$B$27,0))="","",INDEX(Project!$C$24:$C$27,MATCH(F298,Project!$B$24:$B$27,0))),""))</f>
        <v/>
      </c>
      <c r="H298" s="40" t="n"/>
      <c r="I298" s="40" t="n"/>
      <c r="J298" s="40" t="n"/>
      <c r="K298" s="40" t="n"/>
      <c r="L298" s="56" t="n"/>
      <c r="M298" s="40" t="n"/>
      <c r="N298" s="57" t="n"/>
      <c r="O298" s="35" t="str">
        <f>IF(OR(L298="",N298=""),"",L298*N298)</f>
        <v/>
      </c>
      <c r="P298" s="43" t="n"/>
      <c r="Q298" s="36" t="str">
        <f>IF(OR(O298="",P298=""),"",O298-P298)</f>
        <v/>
      </c>
      <c r="R298" s="40" t="n"/>
      <c r="S298" s="40" t="n"/>
      <c r="T298" s="58" t="n"/>
      <c r="U298" s="42" t="n"/>
      <c r="V298" s="55" t="str">
        <f>IF(OR(U298="",T298=""),"",U298-T298)</f>
        <v/>
      </c>
      <c r="W298" s="40" t="n"/>
      <c r="X298" s="42" t="n"/>
      <c r="Y298" s="40" t="n"/>
      <c r="Z298" s="32" t="str">
        <f>IF(C298="","",IF(OR(W298="Ordered",W298="Received",W298="Installed"),"Ordered",IF(AND(I298&lt;&gt;"",J298&lt;&gt;"",L298&lt;&gt;"",R298&lt;&gt;"",T298&lt;&gt;"",X298&lt;&gt;""),"READY","Missing: "&amp;_xlfn.TEXTJOIN(", ",TRUE,IF(I298="","model",""),IF(J298="","finish",""),IF(L298="","qty",""),IF(R298="","supplier",""),IF(T298="","lead time",""),IF(X298="","approval","")))))</f>
        <v/>
      </c>
      <c r="AA298" s="54" t="str">
        <f>IF(C298="","",IF(OR(W298="Ordered",W298="Received",W298="Installed"),"",IF(AND(G298&lt;&gt;"",X298="",G298&lt;TODAY()),"DECISION OVERDUE",IF(V298="","",IF(V298&lt;TODAY(),"ORDER OVERDUE",IF(V298-TODAY()&lt;=14,"ORDER SOON",""))))))</f>
        <v/>
      </c>
      <c r="AB298" s="35" t="str">
        <f>IF(Q298="","",IF(AND(X298="",Q298&gt;0),Q298,""))</f>
        <v/>
      </c>
      <c r="AC298" s="59" t="n"/>
      <c r="AD298" s="59" t="n"/>
      <c r="AE298" s="60" t="str">
        <f>IF(AND(C298&lt;&gt;"",B298='Client Sign-Off'!$D$7),COUNTIFS($B$6:B298,'Client Sign-Off'!$D$7,$C$6:C298,"?*"),"")</f>
        <v/>
      </c>
    </row>
    <row r="299" ht="18" customHeight="1">
      <c r="A299" s="54" t="str">
        <f>IF(C299="","",ROW()-5)</f>
        <v/>
      </c>
      <c r="B299" s="40" t="n"/>
      <c r="C299" s="40" t="n"/>
      <c r="D299" s="40" t="n"/>
      <c r="E299" s="40" t="n"/>
      <c r="F299" s="40" t="n"/>
      <c r="G299" s="55" t="str">
        <f>IF(F299="","",IFERROR(IF(INDEX(Project!$C$24:$C$27,MATCH(F299,Project!$B$24:$B$27,0))="","",INDEX(Project!$C$24:$C$27,MATCH(F299,Project!$B$24:$B$27,0))),""))</f>
        <v/>
      </c>
      <c r="H299" s="40" t="n"/>
      <c r="I299" s="40" t="n"/>
      <c r="J299" s="40" t="n"/>
      <c r="K299" s="40" t="n"/>
      <c r="L299" s="56" t="n"/>
      <c r="M299" s="40" t="n"/>
      <c r="N299" s="57" t="n"/>
      <c r="O299" s="35" t="str">
        <f>IF(OR(L299="",N299=""),"",L299*N299)</f>
        <v/>
      </c>
      <c r="P299" s="43" t="n"/>
      <c r="Q299" s="36" t="str">
        <f>IF(OR(O299="",P299=""),"",O299-P299)</f>
        <v/>
      </c>
      <c r="R299" s="40" t="n"/>
      <c r="S299" s="40" t="n"/>
      <c r="T299" s="58" t="n"/>
      <c r="U299" s="42" t="n"/>
      <c r="V299" s="55" t="str">
        <f>IF(OR(U299="",T299=""),"",U299-T299)</f>
        <v/>
      </c>
      <c r="W299" s="40" t="n"/>
      <c r="X299" s="42" t="n"/>
      <c r="Y299" s="40" t="n"/>
      <c r="Z299" s="32" t="str">
        <f>IF(C299="","",IF(OR(W299="Ordered",W299="Received",W299="Installed"),"Ordered",IF(AND(I299&lt;&gt;"",J299&lt;&gt;"",L299&lt;&gt;"",R299&lt;&gt;"",T299&lt;&gt;"",X299&lt;&gt;""),"READY","Missing: "&amp;_xlfn.TEXTJOIN(", ",TRUE,IF(I299="","model",""),IF(J299="","finish",""),IF(L299="","qty",""),IF(R299="","supplier",""),IF(T299="","lead time",""),IF(X299="","approval","")))))</f>
        <v/>
      </c>
      <c r="AA299" s="54" t="str">
        <f>IF(C299="","",IF(OR(W299="Ordered",W299="Received",W299="Installed"),"",IF(AND(G299&lt;&gt;"",X299="",G299&lt;TODAY()),"DECISION OVERDUE",IF(V299="","",IF(V299&lt;TODAY(),"ORDER OVERDUE",IF(V299-TODAY()&lt;=14,"ORDER SOON",""))))))</f>
        <v/>
      </c>
      <c r="AB299" s="35" t="str">
        <f>IF(Q299="","",IF(AND(X299="",Q299&gt;0),Q299,""))</f>
        <v/>
      </c>
      <c r="AC299" s="59" t="n"/>
      <c r="AD299" s="59" t="n"/>
      <c r="AE299" s="60" t="str">
        <f>IF(AND(C299&lt;&gt;"",B299='Client Sign-Off'!$D$7),COUNTIFS($B$6:B299,'Client Sign-Off'!$D$7,$C$6:C299,"?*"),"")</f>
        <v/>
      </c>
    </row>
    <row r="300" ht="18" customHeight="1">
      <c r="A300" s="54" t="str">
        <f>IF(C300="","",ROW()-5)</f>
        <v/>
      </c>
      <c r="B300" s="40" t="n"/>
      <c r="C300" s="40" t="n"/>
      <c r="D300" s="40" t="n"/>
      <c r="E300" s="40" t="n"/>
      <c r="F300" s="40" t="n"/>
      <c r="G300" s="55" t="str">
        <f>IF(F300="","",IFERROR(IF(INDEX(Project!$C$24:$C$27,MATCH(F300,Project!$B$24:$B$27,0))="","",INDEX(Project!$C$24:$C$27,MATCH(F300,Project!$B$24:$B$27,0))),""))</f>
        <v/>
      </c>
      <c r="H300" s="40" t="n"/>
      <c r="I300" s="40" t="n"/>
      <c r="J300" s="40" t="n"/>
      <c r="K300" s="40" t="n"/>
      <c r="L300" s="56" t="n"/>
      <c r="M300" s="40" t="n"/>
      <c r="N300" s="57" t="n"/>
      <c r="O300" s="35" t="str">
        <f>IF(OR(L300="",N300=""),"",L300*N300)</f>
        <v/>
      </c>
      <c r="P300" s="43" t="n"/>
      <c r="Q300" s="36" t="str">
        <f>IF(OR(O300="",P300=""),"",O300-P300)</f>
        <v/>
      </c>
      <c r="R300" s="40" t="n"/>
      <c r="S300" s="40" t="n"/>
      <c r="T300" s="58" t="n"/>
      <c r="U300" s="42" t="n"/>
      <c r="V300" s="55" t="str">
        <f>IF(OR(U300="",T300=""),"",U300-T300)</f>
        <v/>
      </c>
      <c r="W300" s="40" t="n"/>
      <c r="X300" s="42" t="n"/>
      <c r="Y300" s="40" t="n"/>
      <c r="Z300" s="32" t="str">
        <f>IF(C300="","",IF(OR(W300="Ordered",W300="Received",W300="Installed"),"Ordered",IF(AND(I300&lt;&gt;"",J300&lt;&gt;"",L300&lt;&gt;"",R300&lt;&gt;"",T300&lt;&gt;"",X300&lt;&gt;""),"READY","Missing: "&amp;_xlfn.TEXTJOIN(", ",TRUE,IF(I300="","model",""),IF(J300="","finish",""),IF(L300="","qty",""),IF(R300="","supplier",""),IF(T300="","lead time",""),IF(X300="","approval","")))))</f>
        <v/>
      </c>
      <c r="AA300" s="54" t="str">
        <f>IF(C300="","",IF(OR(W300="Ordered",W300="Received",W300="Installed"),"",IF(AND(G300&lt;&gt;"",X300="",G300&lt;TODAY()),"DECISION OVERDUE",IF(V300="","",IF(V300&lt;TODAY(),"ORDER OVERDUE",IF(V300-TODAY()&lt;=14,"ORDER SOON",""))))))</f>
        <v/>
      </c>
      <c r="AB300" s="35" t="str">
        <f>IF(Q300="","",IF(AND(X300="",Q300&gt;0),Q300,""))</f>
        <v/>
      </c>
      <c r="AC300" s="59" t="n"/>
      <c r="AD300" s="59" t="n"/>
      <c r="AE300" s="60" t="str">
        <f>IF(AND(C300&lt;&gt;"",B300='Client Sign-Off'!$D$7),COUNTIFS($B$6:B300,'Client Sign-Off'!$D$7,$C$6:C300,"?*"),"")</f>
        <v/>
      </c>
    </row>
    <row r="301" ht="18" customHeight="1">
      <c r="A301" s="54" t="str">
        <f>IF(C301="","",ROW()-5)</f>
        <v/>
      </c>
      <c r="B301" s="40" t="n"/>
      <c r="C301" s="40" t="n"/>
      <c r="D301" s="40" t="n"/>
      <c r="E301" s="40" t="n"/>
      <c r="F301" s="40" t="n"/>
      <c r="G301" s="55" t="str">
        <f>IF(F301="","",IFERROR(IF(INDEX(Project!$C$24:$C$27,MATCH(F301,Project!$B$24:$B$27,0))="","",INDEX(Project!$C$24:$C$27,MATCH(F301,Project!$B$24:$B$27,0))),""))</f>
        <v/>
      </c>
      <c r="H301" s="40" t="n"/>
      <c r="I301" s="40" t="n"/>
      <c r="J301" s="40" t="n"/>
      <c r="K301" s="40" t="n"/>
      <c r="L301" s="56" t="n"/>
      <c r="M301" s="40" t="n"/>
      <c r="N301" s="57" t="n"/>
      <c r="O301" s="35" t="str">
        <f>IF(OR(L301="",N301=""),"",L301*N301)</f>
        <v/>
      </c>
      <c r="P301" s="43" t="n"/>
      <c r="Q301" s="36" t="str">
        <f>IF(OR(O301="",P301=""),"",O301-P301)</f>
        <v/>
      </c>
      <c r="R301" s="40" t="n"/>
      <c r="S301" s="40" t="n"/>
      <c r="T301" s="58" t="n"/>
      <c r="U301" s="42" t="n"/>
      <c r="V301" s="55" t="str">
        <f>IF(OR(U301="",T301=""),"",U301-T301)</f>
        <v/>
      </c>
      <c r="W301" s="40" t="n"/>
      <c r="X301" s="42" t="n"/>
      <c r="Y301" s="40" t="n"/>
      <c r="Z301" s="32" t="str">
        <f>IF(C301="","",IF(OR(W301="Ordered",W301="Received",W301="Installed"),"Ordered",IF(AND(I301&lt;&gt;"",J301&lt;&gt;"",L301&lt;&gt;"",R301&lt;&gt;"",T301&lt;&gt;"",X301&lt;&gt;""),"READY","Missing: "&amp;_xlfn.TEXTJOIN(", ",TRUE,IF(I301="","model",""),IF(J301="","finish",""),IF(L301="","qty",""),IF(R301="","supplier",""),IF(T301="","lead time",""),IF(X301="","approval","")))))</f>
        <v/>
      </c>
      <c r="AA301" s="54" t="str">
        <f>IF(C301="","",IF(OR(W301="Ordered",W301="Received",W301="Installed"),"",IF(AND(G301&lt;&gt;"",X301="",G301&lt;TODAY()),"DECISION OVERDUE",IF(V301="","",IF(V301&lt;TODAY(),"ORDER OVERDUE",IF(V301-TODAY()&lt;=14,"ORDER SOON",""))))))</f>
        <v/>
      </c>
      <c r="AB301" s="35" t="str">
        <f>IF(Q301="","",IF(AND(X301="",Q301&gt;0),Q301,""))</f>
        <v/>
      </c>
      <c r="AC301" s="59" t="n"/>
      <c r="AD301" s="59" t="n"/>
      <c r="AE301" s="60" t="str">
        <f>IF(AND(C301&lt;&gt;"",B301='Client Sign-Off'!$D$7),COUNTIFS($B$6:B301,'Client Sign-Off'!$D$7,$C$6:C301,"?*"),"")</f>
        <v/>
      </c>
    </row>
    <row r="302" ht="18" customHeight="1">
      <c r="A302" s="54" t="str">
        <f>IF(C302="","",ROW()-5)</f>
        <v/>
      </c>
      <c r="B302" s="40" t="n"/>
      <c r="C302" s="40" t="n"/>
      <c r="D302" s="40" t="n"/>
      <c r="E302" s="40" t="n"/>
      <c r="F302" s="40" t="n"/>
      <c r="G302" s="55" t="str">
        <f>IF(F302="","",IFERROR(IF(INDEX(Project!$C$24:$C$27,MATCH(F302,Project!$B$24:$B$27,0))="","",INDEX(Project!$C$24:$C$27,MATCH(F302,Project!$B$24:$B$27,0))),""))</f>
        <v/>
      </c>
      <c r="H302" s="40" t="n"/>
      <c r="I302" s="40" t="n"/>
      <c r="J302" s="40" t="n"/>
      <c r="K302" s="40" t="n"/>
      <c r="L302" s="56" t="n"/>
      <c r="M302" s="40" t="n"/>
      <c r="N302" s="57" t="n"/>
      <c r="O302" s="35" t="str">
        <f>IF(OR(L302="",N302=""),"",L302*N302)</f>
        <v/>
      </c>
      <c r="P302" s="43" t="n"/>
      <c r="Q302" s="36" t="str">
        <f>IF(OR(O302="",P302=""),"",O302-P302)</f>
        <v/>
      </c>
      <c r="R302" s="40" t="n"/>
      <c r="S302" s="40" t="n"/>
      <c r="T302" s="58" t="n"/>
      <c r="U302" s="42" t="n"/>
      <c r="V302" s="55" t="str">
        <f>IF(OR(U302="",T302=""),"",U302-T302)</f>
        <v/>
      </c>
      <c r="W302" s="40" t="n"/>
      <c r="X302" s="42" t="n"/>
      <c r="Y302" s="40" t="n"/>
      <c r="Z302" s="32" t="str">
        <f>IF(C302="","",IF(OR(W302="Ordered",W302="Received",W302="Installed"),"Ordered",IF(AND(I302&lt;&gt;"",J302&lt;&gt;"",L302&lt;&gt;"",R302&lt;&gt;"",T302&lt;&gt;"",X302&lt;&gt;""),"READY","Missing: "&amp;_xlfn.TEXTJOIN(", ",TRUE,IF(I302="","model",""),IF(J302="","finish",""),IF(L302="","qty",""),IF(R302="","supplier",""),IF(T302="","lead time",""),IF(X302="","approval","")))))</f>
        <v/>
      </c>
      <c r="AA302" s="54" t="str">
        <f>IF(C302="","",IF(OR(W302="Ordered",W302="Received",W302="Installed"),"",IF(AND(G302&lt;&gt;"",X302="",G302&lt;TODAY()),"DECISION OVERDUE",IF(V302="","",IF(V302&lt;TODAY(),"ORDER OVERDUE",IF(V302-TODAY()&lt;=14,"ORDER SOON",""))))))</f>
        <v/>
      </c>
      <c r="AB302" s="35" t="str">
        <f>IF(Q302="","",IF(AND(X302="",Q302&gt;0),Q302,""))</f>
        <v/>
      </c>
      <c r="AC302" s="59" t="n"/>
      <c r="AD302" s="59" t="n"/>
      <c r="AE302" s="60" t="str">
        <f>IF(AND(C302&lt;&gt;"",B302='Client Sign-Off'!$D$7),COUNTIFS($B$6:B302,'Client Sign-Off'!$D$7,$C$6:C302,"?*"),"")</f>
        <v/>
      </c>
    </row>
    <row r="303" ht="18" customHeight="1">
      <c r="A303" s="54" t="str">
        <f>IF(C303="","",ROW()-5)</f>
        <v/>
      </c>
      <c r="B303" s="40" t="n"/>
      <c r="C303" s="40" t="n"/>
      <c r="D303" s="40" t="n"/>
      <c r="E303" s="40" t="n"/>
      <c r="F303" s="40" t="n"/>
      <c r="G303" s="55" t="str">
        <f>IF(F303="","",IFERROR(IF(INDEX(Project!$C$24:$C$27,MATCH(F303,Project!$B$24:$B$27,0))="","",INDEX(Project!$C$24:$C$27,MATCH(F303,Project!$B$24:$B$27,0))),""))</f>
        <v/>
      </c>
      <c r="H303" s="40" t="n"/>
      <c r="I303" s="40" t="n"/>
      <c r="J303" s="40" t="n"/>
      <c r="K303" s="40" t="n"/>
      <c r="L303" s="56" t="n"/>
      <c r="M303" s="40" t="n"/>
      <c r="N303" s="57" t="n"/>
      <c r="O303" s="35" t="str">
        <f>IF(OR(L303="",N303=""),"",L303*N303)</f>
        <v/>
      </c>
      <c r="P303" s="43" t="n"/>
      <c r="Q303" s="36" t="str">
        <f>IF(OR(O303="",P303=""),"",O303-P303)</f>
        <v/>
      </c>
      <c r="R303" s="40" t="n"/>
      <c r="S303" s="40" t="n"/>
      <c r="T303" s="58" t="n"/>
      <c r="U303" s="42" t="n"/>
      <c r="V303" s="55" t="str">
        <f>IF(OR(U303="",T303=""),"",U303-T303)</f>
        <v/>
      </c>
      <c r="W303" s="40" t="n"/>
      <c r="X303" s="42" t="n"/>
      <c r="Y303" s="40" t="n"/>
      <c r="Z303" s="32" t="str">
        <f>IF(C303="","",IF(OR(W303="Ordered",W303="Received",W303="Installed"),"Ordered",IF(AND(I303&lt;&gt;"",J303&lt;&gt;"",L303&lt;&gt;"",R303&lt;&gt;"",T303&lt;&gt;"",X303&lt;&gt;""),"READY","Missing: "&amp;_xlfn.TEXTJOIN(", ",TRUE,IF(I303="","model",""),IF(J303="","finish",""),IF(L303="","qty",""),IF(R303="","supplier",""),IF(T303="","lead time",""),IF(X303="","approval","")))))</f>
        <v/>
      </c>
      <c r="AA303" s="54" t="str">
        <f>IF(C303="","",IF(OR(W303="Ordered",W303="Received",W303="Installed"),"",IF(AND(G303&lt;&gt;"",X303="",G303&lt;TODAY()),"DECISION OVERDUE",IF(V303="","",IF(V303&lt;TODAY(),"ORDER OVERDUE",IF(V303-TODAY()&lt;=14,"ORDER SOON",""))))))</f>
        <v/>
      </c>
      <c r="AB303" s="35" t="str">
        <f>IF(Q303="","",IF(AND(X303="",Q303&gt;0),Q303,""))</f>
        <v/>
      </c>
      <c r="AC303" s="59" t="n"/>
      <c r="AD303" s="59" t="n"/>
      <c r="AE303" s="60" t="str">
        <f>IF(AND(C303&lt;&gt;"",B303='Client Sign-Off'!$D$7),COUNTIFS($B$6:B303,'Client Sign-Off'!$D$7,$C$6:C303,"?*"),"")</f>
        <v/>
      </c>
    </row>
    <row r="304" ht="18" customHeight="1">
      <c r="A304" s="54" t="str">
        <f>IF(C304="","",ROW()-5)</f>
        <v/>
      </c>
      <c r="B304" s="40" t="n"/>
      <c r="C304" s="40" t="n"/>
      <c r="D304" s="40" t="n"/>
      <c r="E304" s="40" t="n"/>
      <c r="F304" s="40" t="n"/>
      <c r="G304" s="55" t="str">
        <f>IF(F304="","",IFERROR(IF(INDEX(Project!$C$24:$C$27,MATCH(F304,Project!$B$24:$B$27,0))="","",INDEX(Project!$C$24:$C$27,MATCH(F304,Project!$B$24:$B$27,0))),""))</f>
        <v/>
      </c>
      <c r="H304" s="40" t="n"/>
      <c r="I304" s="40" t="n"/>
      <c r="J304" s="40" t="n"/>
      <c r="K304" s="40" t="n"/>
      <c r="L304" s="56" t="n"/>
      <c r="M304" s="40" t="n"/>
      <c r="N304" s="57" t="n"/>
      <c r="O304" s="35" t="str">
        <f>IF(OR(L304="",N304=""),"",L304*N304)</f>
        <v/>
      </c>
      <c r="P304" s="43" t="n"/>
      <c r="Q304" s="36" t="str">
        <f>IF(OR(O304="",P304=""),"",O304-P304)</f>
        <v/>
      </c>
      <c r="R304" s="40" t="n"/>
      <c r="S304" s="40" t="n"/>
      <c r="T304" s="58" t="n"/>
      <c r="U304" s="42" t="n"/>
      <c r="V304" s="55" t="str">
        <f>IF(OR(U304="",T304=""),"",U304-T304)</f>
        <v/>
      </c>
      <c r="W304" s="40" t="n"/>
      <c r="X304" s="42" t="n"/>
      <c r="Y304" s="40" t="n"/>
      <c r="Z304" s="32" t="str">
        <f>IF(C304="","",IF(OR(W304="Ordered",W304="Received",W304="Installed"),"Ordered",IF(AND(I304&lt;&gt;"",J304&lt;&gt;"",L304&lt;&gt;"",R304&lt;&gt;"",T304&lt;&gt;"",X304&lt;&gt;""),"READY","Missing: "&amp;_xlfn.TEXTJOIN(", ",TRUE,IF(I304="","model",""),IF(J304="","finish",""),IF(L304="","qty",""),IF(R304="","supplier",""),IF(T304="","lead time",""),IF(X304="","approval","")))))</f>
        <v/>
      </c>
      <c r="AA304" s="54" t="str">
        <f>IF(C304="","",IF(OR(W304="Ordered",W304="Received",W304="Installed"),"",IF(AND(G304&lt;&gt;"",X304="",G304&lt;TODAY()),"DECISION OVERDUE",IF(V304="","",IF(V304&lt;TODAY(),"ORDER OVERDUE",IF(V304-TODAY()&lt;=14,"ORDER SOON",""))))))</f>
        <v/>
      </c>
      <c r="AB304" s="35" t="str">
        <f>IF(Q304="","",IF(AND(X304="",Q304&gt;0),Q304,""))</f>
        <v/>
      </c>
      <c r="AC304" s="59" t="n"/>
      <c r="AD304" s="59" t="n"/>
      <c r="AE304" s="60" t="str">
        <f>IF(AND(C304&lt;&gt;"",B304='Client Sign-Off'!$D$7),COUNTIFS($B$6:B304,'Client Sign-Off'!$D$7,$C$6:C304,"?*"),"")</f>
        <v/>
      </c>
    </row>
    <row r="305" ht="18" customHeight="1">
      <c r="A305" s="54" t="str">
        <f>IF(C305="","",ROW()-5)</f>
        <v/>
      </c>
      <c r="B305" s="40" t="n"/>
      <c r="C305" s="40" t="n"/>
      <c r="D305" s="40" t="n"/>
      <c r="E305" s="40" t="n"/>
      <c r="F305" s="40" t="n"/>
      <c r="G305" s="55" t="str">
        <f>IF(F305="","",IFERROR(IF(INDEX(Project!$C$24:$C$27,MATCH(F305,Project!$B$24:$B$27,0))="","",INDEX(Project!$C$24:$C$27,MATCH(F305,Project!$B$24:$B$27,0))),""))</f>
        <v/>
      </c>
      <c r="H305" s="40" t="n"/>
      <c r="I305" s="40" t="n"/>
      <c r="J305" s="40" t="n"/>
      <c r="K305" s="40" t="n"/>
      <c r="L305" s="56" t="n"/>
      <c r="M305" s="40" t="n"/>
      <c r="N305" s="57" t="n"/>
      <c r="O305" s="35" t="str">
        <f>IF(OR(L305="",N305=""),"",L305*N305)</f>
        <v/>
      </c>
      <c r="P305" s="43" t="n"/>
      <c r="Q305" s="36" t="str">
        <f>IF(OR(O305="",P305=""),"",O305-P305)</f>
        <v/>
      </c>
      <c r="R305" s="40" t="n"/>
      <c r="S305" s="40" t="n"/>
      <c r="T305" s="58" t="n"/>
      <c r="U305" s="42" t="n"/>
      <c r="V305" s="55" t="str">
        <f>IF(OR(U305="",T305=""),"",U305-T305)</f>
        <v/>
      </c>
      <c r="W305" s="40" t="n"/>
      <c r="X305" s="42" t="n"/>
      <c r="Y305" s="40" t="n"/>
      <c r="Z305" s="32" t="str">
        <f>IF(C305="","",IF(OR(W305="Ordered",W305="Received",W305="Installed"),"Ordered",IF(AND(I305&lt;&gt;"",J305&lt;&gt;"",L305&lt;&gt;"",R305&lt;&gt;"",T305&lt;&gt;"",X305&lt;&gt;""),"READY","Missing: "&amp;_xlfn.TEXTJOIN(", ",TRUE,IF(I305="","model",""),IF(J305="","finish",""),IF(L305="","qty",""),IF(R305="","supplier",""),IF(T305="","lead time",""),IF(X305="","approval","")))))</f>
        <v/>
      </c>
      <c r="AA305" s="54" t="str">
        <f>IF(C305="","",IF(OR(W305="Ordered",W305="Received",W305="Installed"),"",IF(AND(G305&lt;&gt;"",X305="",G305&lt;TODAY()),"DECISION OVERDUE",IF(V305="","",IF(V305&lt;TODAY(),"ORDER OVERDUE",IF(V305-TODAY()&lt;=14,"ORDER SOON",""))))))</f>
        <v/>
      </c>
      <c r="AB305" s="35" t="str">
        <f>IF(Q305="","",IF(AND(X305="",Q305&gt;0),Q305,""))</f>
        <v/>
      </c>
      <c r="AC305" s="59" t="n"/>
      <c r="AD305" s="59" t="n"/>
      <c r="AE305" s="60" t="str">
        <f>IF(AND(C305&lt;&gt;"",B305='Client Sign-Off'!$D$7),COUNTIFS($B$6:B305,'Client Sign-Off'!$D$7,$C$6:C305,"?*"),"")</f>
        <v/>
      </c>
    </row>
  </sheetData>
  <autoFilter ref="A5:AD305"/>
  <mergeCells count="9">
    <mergeCell ref="F4:G4"/>
    <mergeCell ref="H4:K4"/>
    <mergeCell ref="A4:E4"/>
    <mergeCell ref="A3:AD3"/>
    <mergeCell ref="W4:Y4"/>
    <mergeCell ref="Z4:AB4"/>
    <mergeCell ref="R4:V4"/>
    <mergeCell ref="L4:Q4"/>
    <mergeCell ref="AC4:AD4"/>
  </mergeCells>
  <conditionalFormatting sqref="Z6:Z305">
    <cfRule type="expression" priority="1" dxfId="4" stopIfTrue="0">
      <formula>$Z6="READY"</formula>
    </cfRule>
    <cfRule type="expression" priority="2" dxfId="5" stopIfTrue="0">
      <formula>LEFT($Z6,7)="Missing"</formula>
    </cfRule>
    <cfRule type="expression" priority="3" dxfId="6" stopIfTrue="0">
      <formula>$Z6="Ordered"</formula>
    </cfRule>
  </conditionalFormatting>
  <conditionalFormatting sqref="AA6:AA305">
    <cfRule type="expression" priority="4" dxfId="0" stopIfTrue="0">
      <formula>RIGHT($AA6,7)="OVERDUE"</formula>
    </cfRule>
    <cfRule type="expression" priority="5" dxfId="7" stopIfTrue="0">
      <formula>$AA6="ORDER SOON"</formula>
    </cfRule>
  </conditionalFormatting>
  <conditionalFormatting sqref="Q6:Q305">
    <cfRule type="expression" priority="6" dxfId="2" stopIfTrue="0">
      <formula>AND(ISNUMBER($Q6),$Q6&gt;0)</formula>
    </cfRule>
    <cfRule type="expression" priority="7" dxfId="3" stopIfTrue="0">
      <formula>AND(ISNUMBER($Q6),$Q6&lt;0)</formula>
    </cfRule>
  </conditionalFormatting>
  <conditionalFormatting sqref="AB6:AB305">
    <cfRule type="expression" priority="8" dxfId="0" stopIfTrue="0">
      <formula>AND(ISNUMBER($AB6),$AB6&gt;0)</formula>
    </cfRule>
  </conditionalFormatting>
  <conditionalFormatting sqref="W6:W305">
    <cfRule type="expression" priority="9" dxfId="4" stopIfTrue="0">
      <formula>$W6="Approved"</formula>
    </cfRule>
    <cfRule type="expression" priority="10" dxfId="7" stopIfTrue="0">
      <formula>OR($W6="Selected",$W6="On Hold")</formula>
    </cfRule>
    <cfRule type="expression" priority="11" dxfId="8" stopIfTrue="0">
      <formula>OR($W6="Ordered",$W6="Received")</formula>
    </cfRule>
    <cfRule type="expression" priority="12" dxfId="9" stopIfTrue="0">
      <formula>$W6="Installed"</formula>
    </cfRule>
  </conditionalFormatting>
  <conditionalFormatting sqref="G6:G305">
    <cfRule type="expression" priority="13" dxfId="2" stopIfTrue="0">
      <formula>AND(ISNUMBER($G6),$X6="",$G6&lt;TODAY(),$Z6&lt;&gt;"Ordered")</formula>
    </cfRule>
  </conditionalFormatting>
  <dataValidations count="11">
    <dataValidation sqref="B6:B305" showDropDown="0" showInputMessage="0" showErrorMessage="1" allowBlank="1" errorTitle="Not on the list" error="That value is not on the Lists tab. Add it there, or pick from the dropdown." type="list" errorStyle="warning">
      <formula1>=Lists!$C$4:$C$33</formula1>
    </dataValidation>
    <dataValidation sqref="E6:E305" showDropDown="0" showInputMessage="0" showErrorMessage="1" allowBlank="1" errorTitle="Not on the list" error="That value is not on the Lists tab. Add it there, or pick from the dropdown." type="list" errorStyle="warning">
      <formula1>=Lists!$E$4:$E$33</formula1>
    </dataValidation>
    <dataValidation sqref="F6:F305" showDropDown="0" showInputMessage="0" showErrorMessage="1" allowBlank="1" errorTitle="Not on the list" error="That value is not on the Lists tab. Add it there, or pick from the dropdown." type="list" errorStyle="warning">
      <formula1>=Lists!$A$4:$A$7</formula1>
    </dataValidation>
    <dataValidation sqref="M6:M305" showDropDown="0" showInputMessage="0" showErrorMessage="1" allowBlank="1" errorTitle="Not on the list" error="That value is not on the Lists tab. Add it there, or pick from the dropdown." type="list" errorStyle="warning">
      <formula1>=Lists!$G$4:$G$15</formula1>
    </dataValidation>
    <dataValidation sqref="W6:W305" showDropDown="0" showInputMessage="0" showErrorMessage="1" allowBlank="1" errorTitle="Not on the list" error="That value is not on the Lists tab. Add it there, or pick from the dropdown." type="list" errorStyle="warning">
      <formula1>=Lists!$I$4:$I$11</formula1>
    </dataValidation>
    <dataValidation sqref="L6:L305" showDropDown="0" showInputMessage="0" showErrorMessage="1" allowBlank="1" errorTitle="Number needed" error="Enter a number, 0 or more." type="decimal" operator="greaterThanOrEqual">
      <formula1>0</formula1>
    </dataValidation>
    <dataValidation sqref="N6:N305" showDropDown="0" showInputMessage="0" showErrorMessage="1" allowBlank="1" errorTitle="Number needed" error="Enter a number, 0 or more." type="decimal" operator="greaterThanOrEqual">
      <formula1>0</formula1>
    </dataValidation>
    <dataValidation sqref="P6:P305" showDropDown="0" showInputMessage="0" showErrorMessage="1" allowBlank="1" errorTitle="Number needed" error="Enter a number, 0 or more." type="decimal" operator="greaterThanOrEqual">
      <formula1>0</formula1>
    </dataValidation>
    <dataValidation sqref="T6:T305" showDropDown="0" showInputMessage="0" showErrorMessage="1" allowBlank="1" errorTitle="Number needed" error="Lead time in whole days." type="whole" operator="greaterThanOrEqual">
      <formula1>0</formula1>
    </dataValidation>
    <dataValidation sqref="U6:U305" showDropDown="0" showInputMessage="0" showErrorMessage="1" allowBlank="1" errorTitle="Date needed" error="Enter a date, like 10/15/2026." type="date" operator="greaterThan">
      <formula1>36526</formula1>
    </dataValidation>
    <dataValidation sqref="X6:X305" showDropDown="0" showInputMessage="0" showErrorMessage="1" allowBlank="1" errorTitle="Date needed" error="Enter a date, like 10/15/2026." type="date" operator="greaterThan">
      <formula1>36526</formula1>
    </dataValidation>
  </dataValidations>
  <printOptions horizontalCentered="1"/>
  <pageMargins left="0.3" right="0.3" top="1" bottom="1" header="0.5" footer="0.5"/>
  <pageSetup orientation="landscape" paperSize="3" fitToHeight="0" fitToWidth="1"/>
  <headerFooter>
    <oddHeader/>
    <oddFooter>&amp;L&amp;A&amp;CPage &amp;P of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B2A41"/>
    <outlinePr summaryBelow="1" summaryRight="1"/>
    <pageSetUpPr fitToPage="1"/>
  </sheetPr>
  <dimension ref="B1:K23"/>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3" customWidth="1" min="1" max="1"/>
    <col width="26" customWidth="1" min="2" max="2"/>
    <col width="14" customWidth="1" min="3" max="3"/>
    <col width="14" customWidth="1" min="4" max="4"/>
    <col width="14" customWidth="1" min="5" max="5"/>
    <col width="10" customWidth="1" min="6" max="6"/>
    <col width="16" customWidth="1" min="7" max="7"/>
    <col width="10" customWidth="1" min="8" max="8"/>
    <col width="11" customWidth="1" min="9" max="9"/>
    <col width="14" customWidth="1" min="10" max="10"/>
    <col width="20" customWidth="1" min="11" max="11"/>
  </cols>
  <sheetData>
    <row r="1" ht="30" customHeight="1">
      <c r="B1" s="37" t="inlineStr">
        <is>
          <t>Allowances</t>
        </is>
      </c>
    </row>
    <row r="2">
      <c r="B2" s="38" t="inlineStr">
        <is>
          <t>Every allowance line on the Finish Schedule, rolled up by category. Rename the white category cells to match your contract.</t>
        </is>
      </c>
    </row>
    <row r="3">
      <c r="B3" s="61" t="inlineStr">
        <is>
          <t>Sign overages the day they are chosen, not at the final invoice. The Unsigned column is money you are carrying on a handshake.</t>
        </is>
      </c>
    </row>
    <row r="5" ht="34" customHeight="1">
      <c r="B5" s="31" t="inlineStr">
        <is>
          <t>Category</t>
        </is>
      </c>
      <c r="C5" s="31" t="inlineStr">
        <is>
          <t>Allowance</t>
        </is>
      </c>
      <c r="D5" s="31" t="inlineStr">
        <is>
          <t>Actual</t>
        </is>
      </c>
      <c r="E5" s="31" t="inlineStr">
        <is>
          <t>Over / Under</t>
        </is>
      </c>
      <c r="F5" s="31" t="inlineStr">
        <is>
          <t>% Over</t>
        </is>
      </c>
      <c r="G5" s="31" t="inlineStr">
        <is>
          <t>Billable (with markup)</t>
        </is>
      </c>
      <c r="H5" s="31" t="inlineStr">
        <is>
          <t>Lines</t>
        </is>
      </c>
      <c r="I5" s="31" t="inlineStr">
        <is>
          <t>Approved</t>
        </is>
      </c>
      <c r="J5" s="31" t="inlineStr">
        <is>
          <t>Unsigned Overage</t>
        </is>
      </c>
      <c r="K5" s="31" t="inlineStr">
        <is>
          <t>Status</t>
        </is>
      </c>
    </row>
    <row r="6" ht="20" customHeight="1">
      <c r="B6" s="62" t="inlineStr">
        <is>
          <t>Plumbing Fixtures</t>
        </is>
      </c>
      <c r="C6" s="35">
        <f>SUMIFS('Finish Schedule'!$P$6:$P$305,'Finish Schedule'!$E$6:$E$305,$B6)</f>
        <v>4650</v>
      </c>
      <c r="D6" s="35">
        <f>SUMIFS('Finish Schedule'!$O$6:$O$305,'Finish Schedule'!$E$6:$E$305,$B6,'Finish Schedule'!$P$6:$P$305,"&lt;&gt;")</f>
        <v>5619</v>
      </c>
      <c r="E6" s="36">
        <f>D6-C6</f>
        <v>969</v>
      </c>
      <c r="F6" s="63">
        <f>IF(C6=0,"",E6/C6)</f>
        <v>0.208387096774194</v>
      </c>
      <c r="G6" s="36">
        <f>IF(E6&gt;0,E6*(1+Project!$C$19),E6)</f>
        <v>1065.9</v>
      </c>
      <c r="H6" s="34">
        <f>COUNTIFS('Finish Schedule'!$E$6:$E$305,$B6,'Finish Schedule'!$P$6:$P$305,"&lt;&gt;")</f>
        <v>6</v>
      </c>
      <c r="I6" s="34">
        <f>COUNTIFS('Finish Schedule'!$E$6:$E$305,$B6,'Finish Schedule'!$P$6:$P$305,"&lt;&gt;",'Finish Schedule'!$X$6:$X$305,"&lt;&gt;")</f>
        <v>5</v>
      </c>
      <c r="J6" s="35">
        <f>SUMIFS('Finish Schedule'!$AB$6:$AB$305,'Finish Schedule'!$E$6:$E$305,$B6)</f>
        <v>800</v>
      </c>
      <c r="K6" s="32" t="str">
        <f>IF(H6=0,"No lines yet",IF(J6&gt;0,"Unsigned overage",IF(E6&gt;0,"Over, signed",IF(E6&lt;0,"Under","On budget"))))</f>
        <v>Unsigned overage</v>
      </c>
    </row>
    <row r="7" ht="20" customHeight="1">
      <c r="B7" s="62" t="inlineStr">
        <is>
          <t>Tile</t>
        </is>
      </c>
      <c r="C7" s="35">
        <f>SUMIFS('Finish Schedule'!$P$6:$P$305,'Finish Schedule'!$E$6:$E$305,$B7)</f>
        <v>3220</v>
      </c>
      <c r="D7" s="35">
        <f>SUMIFS('Finish Schedule'!$O$6:$O$305,'Finish Schedule'!$E$6:$E$305,$B7,'Finish Schedule'!$P$6:$P$305,"&lt;&gt;")</f>
        <v>3334.5</v>
      </c>
      <c r="E7" s="36">
        <f>D7-C7</f>
        <v>114.5</v>
      </c>
      <c r="F7" s="63">
        <f>IF(C7=0,"",E7/C7)</f>
        <v>0.0355590062111801</v>
      </c>
      <c r="G7" s="36">
        <f>IF(E7&gt;0,E7*(1+Project!$C$19),E7)</f>
        <v>125.95</v>
      </c>
      <c r="H7" s="34">
        <f>COUNTIFS('Finish Schedule'!$E$6:$E$305,$B7,'Finish Schedule'!$P$6:$P$305,"&lt;&gt;")</f>
        <v>4</v>
      </c>
      <c r="I7" s="34">
        <f>COUNTIFS('Finish Schedule'!$E$6:$E$305,$B7,'Finish Schedule'!$P$6:$P$305,"&lt;&gt;",'Finish Schedule'!$X$6:$X$305,"&lt;&gt;")</f>
        <v>3</v>
      </c>
      <c r="J7" s="35">
        <f>SUMIFS('Finish Schedule'!$AB$6:$AB$305,'Finish Schedule'!$E$6:$E$305,$B7)</f>
        <v>0</v>
      </c>
      <c r="K7" s="32" t="str">
        <f>IF(H7=0,"No lines yet",IF(J7&gt;0,"Unsigned overage",IF(E7&gt;0,"Over, signed",IF(E7&lt;0,"Under","On budget"))))</f>
        <v>Over, signed</v>
      </c>
    </row>
    <row r="8" ht="20" customHeight="1">
      <c r="B8" s="62" t="inlineStr">
        <is>
          <t>Lighting</t>
        </is>
      </c>
      <c r="C8" s="35">
        <f>SUMIFS('Finish Schedule'!$P$6:$P$305,'Finish Schedule'!$E$6:$E$305,$B8)</f>
        <v>1700</v>
      </c>
      <c r="D8" s="35">
        <f>SUMIFS('Finish Schedule'!$O$6:$O$305,'Finish Schedule'!$E$6:$E$305,$B8,'Finish Schedule'!$P$6:$P$305,"&lt;&gt;")</f>
        <v>1625</v>
      </c>
      <c r="E8" s="36">
        <f>D8-C8</f>
        <v>-75</v>
      </c>
      <c r="F8" s="63">
        <f>IF(C8=0,"",E8/C8)</f>
        <v>-0.0441176470588235</v>
      </c>
      <c r="G8" s="36">
        <f>IF(E8&gt;0,E8*(1+Project!$C$19),E8)</f>
        <v>-75</v>
      </c>
      <c r="H8" s="34">
        <f>COUNTIFS('Finish Schedule'!$E$6:$E$305,$B8,'Finish Schedule'!$P$6:$P$305,"&lt;&gt;")</f>
        <v>3</v>
      </c>
      <c r="I8" s="34">
        <f>COUNTIFS('Finish Schedule'!$E$6:$E$305,$B8,'Finish Schedule'!$P$6:$P$305,"&lt;&gt;",'Finish Schedule'!$X$6:$X$305,"&lt;&gt;")</f>
        <v>1</v>
      </c>
      <c r="J8" s="35">
        <f>SUMIFS('Finish Schedule'!$AB$6:$AB$305,'Finish Schedule'!$E$6:$E$305,$B8)</f>
        <v>30</v>
      </c>
      <c r="K8" s="32" t="str">
        <f>IF(H8=0,"No lines yet",IF(J8&gt;0,"Unsigned overage",IF(E8&gt;0,"Over, signed",IF(E8&lt;0,"Under","On budget"))))</f>
        <v>Unsigned overage</v>
      </c>
    </row>
    <row r="9" ht="20" customHeight="1">
      <c r="B9" s="62" t="inlineStr">
        <is>
          <t>Cabinetry</t>
        </is>
      </c>
      <c r="C9" s="35">
        <f>SUMIFS('Finish Schedule'!$P$6:$P$305,'Finish Schedule'!$E$6:$E$305,$B9)</f>
        <v>29800</v>
      </c>
      <c r="D9" s="35">
        <f>SUMIFS('Finish Schedule'!$O$6:$O$305,'Finish Schedule'!$E$6:$E$305,$B9,'Finish Schedule'!$P$6:$P$305,"&lt;&gt;")</f>
        <v>30600</v>
      </c>
      <c r="E9" s="36">
        <f>D9-C9</f>
        <v>800</v>
      </c>
      <c r="F9" s="63">
        <f>IF(C9=0,"",E9/C9)</f>
        <v>0.0268456375838926</v>
      </c>
      <c r="G9" s="36">
        <f>IF(E9&gt;0,E9*(1+Project!$C$19),E9)</f>
        <v>880</v>
      </c>
      <c r="H9" s="34">
        <f>COUNTIFS('Finish Schedule'!$E$6:$E$305,$B9,'Finish Schedule'!$P$6:$P$305,"&lt;&gt;")</f>
        <v>2</v>
      </c>
      <c r="I9" s="34">
        <f>COUNTIFS('Finish Schedule'!$E$6:$E$305,$B9,'Finish Schedule'!$P$6:$P$305,"&lt;&gt;",'Finish Schedule'!$X$6:$X$305,"&lt;&gt;")</f>
        <v>1</v>
      </c>
      <c r="J9" s="35">
        <f>SUMIFS('Finish Schedule'!$AB$6:$AB$305,'Finish Schedule'!$E$6:$E$305,$B9)</f>
        <v>300</v>
      </c>
      <c r="K9" s="32" t="str">
        <f>IF(H9=0,"No lines yet",IF(J9&gt;0,"Unsigned overage",IF(E9&gt;0,"Over, signed",IF(E9&lt;0,"Under","On budget"))))</f>
        <v>Unsigned overage</v>
      </c>
    </row>
    <row r="10" ht="20" customHeight="1">
      <c r="B10" s="62" t="inlineStr">
        <is>
          <t>Countertops</t>
        </is>
      </c>
      <c r="C10" s="35">
        <f>SUMIFS('Finish Schedule'!$P$6:$P$305,'Finish Schedule'!$E$6:$E$305,$B10)</f>
        <v>4960</v>
      </c>
      <c r="D10" s="35">
        <f>SUMIFS('Finish Schedule'!$O$6:$O$305,'Finish Schedule'!$E$6:$E$305,$B10,'Finish Schedule'!$P$6:$P$305,"&lt;&gt;")</f>
        <v>5456</v>
      </c>
      <c r="E10" s="36">
        <f>D10-C10</f>
        <v>496</v>
      </c>
      <c r="F10" s="63">
        <f>IF(C10=0,"",E10/C10)</f>
        <v>0.1</v>
      </c>
      <c r="G10" s="36">
        <f>IF(E10&gt;0,E10*(1+Project!$C$19),E10)</f>
        <v>545.6</v>
      </c>
      <c r="H10" s="34">
        <f>COUNTIFS('Finish Schedule'!$E$6:$E$305,$B10,'Finish Schedule'!$P$6:$P$305,"&lt;&gt;")</f>
        <v>1</v>
      </c>
      <c r="I10" s="34">
        <f>COUNTIFS('Finish Schedule'!$E$6:$E$305,$B10,'Finish Schedule'!$P$6:$P$305,"&lt;&gt;",'Finish Schedule'!$X$6:$X$305,"&lt;&gt;")</f>
        <v>1</v>
      </c>
      <c r="J10" s="35">
        <f>SUMIFS('Finish Schedule'!$AB$6:$AB$305,'Finish Schedule'!$E$6:$E$305,$B10)</f>
        <v>0</v>
      </c>
      <c r="K10" s="32" t="str">
        <f>IF(H10=0,"No lines yet",IF(J10&gt;0,"Unsigned overage",IF(E10&gt;0,"Over, signed",IF(E10&lt;0,"Under","On budget"))))</f>
        <v>Over, signed</v>
      </c>
    </row>
    <row r="11" ht="20" customHeight="1">
      <c r="B11" s="62" t="inlineStr">
        <is>
          <t>Appliances</t>
        </is>
      </c>
      <c r="C11" s="35">
        <f>SUMIFS('Finish Schedule'!$P$6:$P$305,'Finish Schedule'!$E$6:$E$305,$B11)</f>
        <v>9500</v>
      </c>
      <c r="D11" s="35">
        <f>SUMIFS('Finish Schedule'!$O$6:$O$305,'Finish Schedule'!$E$6:$E$305,$B11,'Finish Schedule'!$P$6:$P$305,"&lt;&gt;")</f>
        <v>10850</v>
      </c>
      <c r="E11" s="36">
        <f>D11-C11</f>
        <v>1350</v>
      </c>
      <c r="F11" s="63">
        <f>IF(C11=0,"",E11/C11)</f>
        <v>0.142105263157895</v>
      </c>
      <c r="G11" s="36">
        <f>IF(E11&gt;0,E11*(1+Project!$C$19),E11)</f>
        <v>1485</v>
      </c>
      <c r="H11" s="34">
        <f>COUNTIFS('Finish Schedule'!$E$6:$E$305,$B11,'Finish Schedule'!$P$6:$P$305,"&lt;&gt;")</f>
        <v>1</v>
      </c>
      <c r="I11" s="34">
        <f>COUNTIFS('Finish Schedule'!$E$6:$E$305,$B11,'Finish Schedule'!$P$6:$P$305,"&lt;&gt;",'Finish Schedule'!$X$6:$X$305,"&lt;&gt;")</f>
        <v>1</v>
      </c>
      <c r="J11" s="35">
        <f>SUMIFS('Finish Schedule'!$AB$6:$AB$305,'Finish Schedule'!$E$6:$E$305,$B11)</f>
        <v>0</v>
      </c>
      <c r="K11" s="32" t="str">
        <f>IF(H11=0,"No lines yet",IF(J11&gt;0,"Unsigned overage",IF(E11&gt;0,"Over, signed",IF(E11&lt;0,"Under","On budget"))))</f>
        <v>Over, signed</v>
      </c>
    </row>
    <row r="12" ht="20" customHeight="1">
      <c r="B12" s="62" t="inlineStr">
        <is>
          <t>Flooring</t>
        </is>
      </c>
      <c r="C12" s="35">
        <f>SUMIFS('Finish Schedule'!$P$6:$P$305,'Finish Schedule'!$E$6:$E$305,$B12)</f>
        <v>9080</v>
      </c>
      <c r="D12" s="35">
        <f>SUMIFS('Finish Schedule'!$O$6:$O$305,'Finish Schedule'!$E$6:$E$305,$B12,'Finish Schedule'!$P$6:$P$305,"&lt;&gt;")</f>
        <v>9559.5</v>
      </c>
      <c r="E12" s="36">
        <f>D12-C12</f>
        <v>479.5</v>
      </c>
      <c r="F12" s="63">
        <f>IF(C12=0,"",E12/C12)</f>
        <v>0.0528083700440529</v>
      </c>
      <c r="G12" s="36">
        <f>IF(E12&gt;0,E12*(1+Project!$C$19),E12)</f>
        <v>527.45</v>
      </c>
      <c r="H12" s="34">
        <f>COUNTIFS('Finish Schedule'!$E$6:$E$305,$B12,'Finish Schedule'!$P$6:$P$305,"&lt;&gt;")</f>
        <v>2</v>
      </c>
      <c r="I12" s="34">
        <f>COUNTIFS('Finish Schedule'!$E$6:$E$305,$B12,'Finish Schedule'!$P$6:$P$305,"&lt;&gt;",'Finish Schedule'!$X$6:$X$305,"&lt;&gt;")</f>
        <v>1</v>
      </c>
      <c r="J12" s="35">
        <f>SUMIFS('Finish Schedule'!$AB$6:$AB$305,'Finish Schedule'!$E$6:$E$305,$B12)</f>
        <v>0</v>
      </c>
      <c r="K12" s="32" t="str">
        <f>IF(H12=0,"No lines yet",IF(J12&gt;0,"Unsigned overage",IF(E12&gt;0,"Over, signed",IF(E12&lt;0,"Under","On budget"))))</f>
        <v>Over, signed</v>
      </c>
    </row>
    <row r="13" ht="20" customHeight="1">
      <c r="B13" s="62" t="inlineStr">
        <is>
          <t>Cabinet Hardware</t>
        </is>
      </c>
      <c r="C13" s="35">
        <f>SUMIFS('Finish Schedule'!$P$6:$P$305,'Finish Schedule'!$E$6:$E$305,$B13)</f>
        <v>420</v>
      </c>
      <c r="D13" s="35">
        <f>SUMIFS('Finish Schedule'!$O$6:$O$305,'Finish Schedule'!$E$6:$E$305,$B13,'Finish Schedule'!$P$6:$P$305,"&lt;&gt;")</f>
        <v>483</v>
      </c>
      <c r="E13" s="36">
        <f>D13-C13</f>
        <v>63</v>
      </c>
      <c r="F13" s="63">
        <f>IF(C13=0,"",E13/C13)</f>
        <v>0.15</v>
      </c>
      <c r="G13" s="36">
        <f>IF(E13&gt;0,E13*(1+Project!$C$19),E13)</f>
        <v>69.3</v>
      </c>
      <c r="H13" s="34">
        <f>COUNTIFS('Finish Schedule'!$E$6:$E$305,$B13,'Finish Schedule'!$P$6:$P$305,"&lt;&gt;")</f>
        <v>1</v>
      </c>
      <c r="I13" s="34">
        <f>COUNTIFS('Finish Schedule'!$E$6:$E$305,$B13,'Finish Schedule'!$P$6:$P$305,"&lt;&gt;",'Finish Schedule'!$X$6:$X$305,"&lt;&gt;")</f>
        <v>0</v>
      </c>
      <c r="J13" s="35">
        <f>SUMIFS('Finish Schedule'!$AB$6:$AB$305,'Finish Schedule'!$E$6:$E$305,$B13)</f>
        <v>63</v>
      </c>
      <c r="K13" s="32" t="str">
        <f>IF(H13=0,"No lines yet",IF(J13&gt;0,"Unsigned overage",IF(E13&gt;0,"Over, signed",IF(E13&lt;0,"Under","On budget"))))</f>
        <v>Unsigned overage</v>
      </c>
    </row>
    <row r="14" ht="20" customHeight="1">
      <c r="B14" s="64" t="inlineStr">
        <is>
          <t>All other categories</t>
        </is>
      </c>
      <c r="C14" s="35">
        <f>SUM('Finish Schedule'!$P$6:$P$305)-SUM(C6:C13)</f>
        <v>8000</v>
      </c>
      <c r="D14" s="35">
        <f>SUMIFS('Finish Schedule'!$O$6:$O$305,'Finish Schedule'!$P$6:$P$305,"&lt;&gt;")-SUM(D6:D13)</f>
        <v>8050</v>
      </c>
      <c r="E14" s="36">
        <f>D14-C14</f>
        <v>50</v>
      </c>
      <c r="F14" s="63">
        <f>IF(C14=0,"",E14/C14)</f>
        <v>0.00625</v>
      </c>
      <c r="G14" s="36">
        <f>IF(E14&gt;0,E14*(1+Project!$C$19),E14)</f>
        <v>55</v>
      </c>
      <c r="H14" s="34">
        <f>COUNT('Finish Schedule'!$P$6:$P$305)-SUM(H6:H13)</f>
        <v>2</v>
      </c>
      <c r="I14" s="34">
        <f>COUNTIFS('Finish Schedule'!$P$6:$P$305,"&lt;&gt;",'Finish Schedule'!$X$6:$X$305,"&lt;&gt;")-SUM(I6:I13)</f>
        <v>2</v>
      </c>
      <c r="J14" s="35">
        <f>SUM('Finish Schedule'!$AB$6:$AB$305)-SUM(J6:J13)</f>
        <v>0</v>
      </c>
      <c r="K14" s="32" t="str">
        <f>IF(H14=0,"No lines yet",IF(J14&gt;0,"Unsigned overage",IF(E14&gt;0,"Over, signed",IF(E14&lt;0,"Under","On budget"))))</f>
        <v>Over, signed</v>
      </c>
    </row>
    <row r="15" ht="22" customHeight="1">
      <c r="B15" s="65" t="inlineStr">
        <is>
          <t>Total</t>
        </is>
      </c>
      <c r="C15" s="66">
        <f>SUM(C6:C14)</f>
        <v>71330</v>
      </c>
      <c r="D15" s="66">
        <f>SUM(D6:D14)</f>
        <v>75577</v>
      </c>
      <c r="E15" s="67">
        <f>SUM(E6:E14)</f>
        <v>4247</v>
      </c>
      <c r="F15" s="68">
        <f>IF(C15=0,"",E15/C15)</f>
        <v>0.059540165428291</v>
      </c>
      <c r="G15" s="67">
        <f>SUM(G6:G14)</f>
        <v>4679.2</v>
      </c>
      <c r="H15" s="69">
        <f>SUM(H6:H14)</f>
        <v>22</v>
      </c>
      <c r="I15" s="69">
        <f>SUM(I6:I14)</f>
        <v>15</v>
      </c>
      <c r="J15" s="66">
        <f>SUM(J6:J14)</f>
        <v>1193</v>
      </c>
      <c r="K15" s="70" t="n"/>
    </row>
    <row r="17" ht="22" customHeight="1">
      <c r="B17" s="4" t="inlineStr">
        <is>
          <t>WHAT THIS MEANS</t>
        </is>
      </c>
      <c r="C17" s="5" t="n"/>
      <c r="D17" s="5" t="n"/>
      <c r="E17" s="5" t="n"/>
      <c r="F17" s="5" t="n"/>
      <c r="G17" s="5" t="n"/>
      <c r="H17" s="5" t="n"/>
      <c r="I17" s="5" t="n"/>
      <c r="J17" s="5" t="n"/>
      <c r="K17" s="5" t="n"/>
    </row>
    <row r="18">
      <c r="B18" s="39" t="inlineStr">
        <is>
          <t>Net over / under</t>
        </is>
      </c>
      <c r="C18" s="71">
        <f>E15</f>
        <v>4247</v>
      </c>
      <c r="D18" s="16" t="inlineStr">
        <is>
          <t>Actual minus allowance across every allowance line.</t>
        </is>
      </c>
    </row>
    <row r="19">
      <c r="B19" s="39" t="inlineStr">
        <is>
          <t>Markup on overages</t>
        </is>
      </c>
      <c r="C19" s="72">
        <f>Project!C19</f>
        <v>0.1</v>
      </c>
      <c r="D19" s="16" t="inlineStr">
        <is>
          <t>From the Project tab.</t>
        </is>
      </c>
    </row>
    <row r="20">
      <c r="B20" s="39" t="inlineStr">
        <is>
          <t>Billable to client</t>
        </is>
      </c>
      <c r="C20" s="71">
        <f>G15</f>
        <v>4679.2</v>
      </c>
      <c r="D20" s="16" t="inlineStr">
        <is>
          <t>Overages carry markup. Credits come back at cost.</t>
        </is>
      </c>
    </row>
    <row r="21">
      <c r="B21" s="39" t="inlineStr">
        <is>
          <t>Not yet signed</t>
        </is>
      </c>
      <c r="C21" s="47">
        <f>J15</f>
        <v>1193</v>
      </c>
      <c r="D21" s="16" t="inlineStr">
        <is>
          <t>Chase these first.</t>
        </is>
      </c>
    </row>
    <row r="23">
      <c r="B23" s="16" t="inlineStr">
        <is>
          <t>Line-level detail lives on the Finish Schedule: filter the Allowance column to non-blank. 'All other categories' catches allowance lines whose category is not listed above.</t>
        </is>
      </c>
    </row>
  </sheetData>
  <conditionalFormatting sqref="E6:E15">
    <cfRule type="expression" priority="1" dxfId="2" stopIfTrue="0">
      <formula>AND(ISNUMBER(E6),E6&gt;0)</formula>
    </cfRule>
    <cfRule type="expression" priority="2" dxfId="3" stopIfTrue="0">
      <formula>AND(ISNUMBER(E6),E6&lt;0)</formula>
    </cfRule>
  </conditionalFormatting>
  <conditionalFormatting sqref="G6:G15">
    <cfRule type="expression" priority="3" dxfId="2" stopIfTrue="0">
      <formula>AND(ISNUMBER(G6),G6&gt;0)</formula>
    </cfRule>
    <cfRule type="expression" priority="4" dxfId="3" stopIfTrue="0">
      <formula>AND(ISNUMBER(G6),G6&lt;0)</formula>
    </cfRule>
  </conditionalFormatting>
  <conditionalFormatting sqref="J6:J15">
    <cfRule type="expression" priority="5" dxfId="0" stopIfTrue="0">
      <formula>J6&gt;0</formula>
    </cfRule>
  </conditionalFormatting>
  <conditionalFormatting sqref="K6:K14">
    <cfRule type="expression" priority="6" dxfId="0" stopIfTrue="0">
      <formula>K6="Unsigned overage"</formula>
    </cfRule>
    <cfRule type="expression" priority="7" dxfId="5" stopIfTrue="0">
      <formula>K6="Over, signed"</formula>
    </cfRule>
    <cfRule type="expression" priority="8" dxfId="10" stopIfTrue="0">
      <formula>K6="Under"</formula>
    </cfRule>
  </conditionalFormatting>
  <pageMargins left="0.75" right="0.75" top="1" bottom="1" header="0.5" footer="0.5"/>
  <pageSetup orientation="landscape" fitToHeight="0" fitToWidth="1"/>
</worksheet>
</file>

<file path=xl/worksheets/sheet6.xml><?xml version="1.0" encoding="utf-8"?>
<worksheet xmlns="http://schemas.openxmlformats.org/spreadsheetml/2006/main">
  <sheetPr>
    <tabColor rgb="001B2A41"/>
    <outlinePr summaryBelow="1" summaryRight="1"/>
    <pageSetUpPr fitToPage="1"/>
  </sheetPr>
  <dimension ref="A1:P107"/>
  <sheetViews>
    <sheetView showGridLines="0" workbookViewId="0">
      <pane xSplit="5" ySplit="7" topLeftCell="F8" activePane="bottomRight" state="frozen"/>
      <selection pane="topRight"/>
      <selection pane="bottomLeft"/>
      <selection pane="bottomRight" activeCell="A1" sqref="A1"/>
    </sheetView>
  </sheetViews>
  <sheetFormatPr baseColWidth="8" defaultRowHeight="15"/>
  <cols>
    <col width="8" customWidth="1" min="1" max="1"/>
    <col width="12" customWidth="1" min="2" max="2"/>
    <col width="15" customWidth="1" min="3" max="3"/>
    <col width="14" customWidth="1" min="4" max="4"/>
    <col width="34" customWidth="1" min="5" max="5"/>
    <col width="24" customWidth="1" min="6" max="6"/>
    <col width="28" customWidth="1" min="7" max="7"/>
    <col width="12" customWidth="1" min="8" max="8"/>
    <col width="9" customWidth="1" min="9" max="9"/>
    <col width="13" customWidth="1" min="10" max="10"/>
    <col width="8" customWidth="1" min="11" max="11"/>
    <col width="14" customWidth="1" min="12" max="12"/>
    <col width="10" customWidth="1" min="13" max="13"/>
    <col width="14" customWidth="1" min="14" max="14"/>
    <col width="12" customWidth="1" min="15" max="15"/>
    <col width="34" customWidth="1" min="16" max="16"/>
  </cols>
  <sheetData>
    <row r="1" ht="30" customHeight="1">
      <c r="A1" s="17" t="inlineStr">
        <is>
          <t>Change Orders</t>
        </is>
      </c>
    </row>
    <row r="2">
      <c r="A2" s="73" t="inlineStr">
        <is>
          <t>Every change, priced and signed before the work. Swaps, add-ons, surprises, and overages all go here, even the $0 ones.</t>
        </is>
      </c>
    </row>
    <row r="3" ht="18" customHeight="1">
      <c r="B3" s="74" t="inlineStr">
        <is>
          <t>SIGNED CHANGES (ADDED TO CONTRACT)</t>
        </is>
      </c>
      <c r="C3" s="20" t="n"/>
      <c r="D3" s="20" t="n"/>
      <c r="E3" s="74" t="inlineStr">
        <is>
          <t>DAYS ADDED (SIGNED)</t>
        </is>
      </c>
      <c r="F3" s="20" t="n"/>
      <c r="G3" s="20" t="n"/>
      <c r="H3" s="74" t="inlineStr">
        <is>
          <t>WAITING ON THE CLIENT</t>
        </is>
      </c>
      <c r="I3" s="20" t="n"/>
      <c r="J3" s="20" t="n"/>
      <c r="K3" s="74" t="inlineStr">
        <is>
          <t>OPEN CHANGE ORDERS</t>
        </is>
      </c>
      <c r="L3" s="20" t="n"/>
      <c r="M3" s="20" t="n"/>
    </row>
    <row r="4" ht="32" customHeight="1">
      <c r="B4" s="75">
        <f>SUMIFS($J$8:$J$107,$M$8:$M$107,"Signed",$C$8:$C$107,"&lt;&gt;Over allowance")</f>
        <v>1322.5</v>
      </c>
      <c r="C4" s="20" t="n"/>
      <c r="D4" s="20" t="n"/>
      <c r="E4" s="76">
        <f>SUMIFS($K$8:$K$107,$M$8:$M$107,"Signed")</f>
        <v>3</v>
      </c>
      <c r="F4" s="20" t="n"/>
      <c r="G4" s="20" t="n"/>
      <c r="H4" s="75">
        <f>SUMIFS($J$8:$J$107,$M$8:$M$107,"Sent")+SUMIFS($J$8:$J$107,$M$8:$M$107,"Draft")</f>
        <v>1363</v>
      </c>
      <c r="I4" s="20" t="n"/>
      <c r="J4" s="20" t="n"/>
      <c r="K4" s="76">
        <f>COUNTIF($M$8:$M$107,"Sent")+COUNTIF($M$8:$M$107,"Draft")</f>
        <v>2</v>
      </c>
      <c r="L4" s="20" t="n"/>
      <c r="M4" s="20" t="n"/>
    </row>
    <row r="5">
      <c r="A5" s="16" t="inlineStr">
        <is>
          <t>Over-allowance COs are tracked here for the signature but left out of the Signed total, because the Allowances tab already counts them. Void COs count nowhere.</t>
        </is>
      </c>
    </row>
    <row r="7" ht="32" customHeight="1">
      <c r="A7" s="31" t="inlineStr">
        <is>
          <t>CO #</t>
        </is>
      </c>
      <c r="B7" s="31" t="inlineStr">
        <is>
          <t>Date</t>
        </is>
      </c>
      <c r="C7" s="31" t="inlineStr">
        <is>
          <t>Type</t>
        </is>
      </c>
      <c r="D7" s="31" t="inlineStr">
        <is>
          <t>Room</t>
        </is>
      </c>
      <c r="E7" s="31" t="inlineStr">
        <is>
          <t>What changed</t>
        </is>
      </c>
      <c r="F7" s="31" t="inlineStr">
        <is>
          <t>Was</t>
        </is>
      </c>
      <c r="G7" s="31" t="inlineStr">
        <is>
          <t>Now</t>
        </is>
      </c>
      <c r="H7" s="31" t="inlineStr">
        <is>
          <t>Cost</t>
        </is>
      </c>
      <c r="I7" s="31" t="inlineStr">
        <is>
          <t>Markup</t>
        </is>
      </c>
      <c r="J7" s="31" t="inlineStr">
        <is>
          <t>Price to Client</t>
        </is>
      </c>
      <c r="K7" s="31" t="inlineStr">
        <is>
          <t>Days</t>
        </is>
      </c>
      <c r="L7" s="31" t="inlineStr">
        <is>
          <t>Requested By</t>
        </is>
      </c>
      <c r="M7" s="31" t="inlineStr">
        <is>
          <t>Status</t>
        </is>
      </c>
      <c r="N7" s="31" t="inlineStr">
        <is>
          <t>Signed By</t>
        </is>
      </c>
      <c r="O7" s="31" t="inlineStr">
        <is>
          <t>Date Signed</t>
        </is>
      </c>
      <c r="P7" s="31" t="inlineStr">
        <is>
          <t>Notes</t>
        </is>
      </c>
    </row>
    <row r="8" ht="32" customHeight="1">
      <c r="A8" s="77" t="str">
        <f>IF(E8="","","CO-"&amp;TEXT(ROW()-7,"00"))</f>
        <v>CO-01</v>
      </c>
      <c r="B8" s="42">
        <f>TODAY()-30</f>
        <v>46256.0</v>
      </c>
      <c r="C8" s="40" t="inlineStr">
        <is>
          <t>Added scope</t>
        </is>
      </c>
      <c r="D8" s="40" t="inlineStr">
        <is>
          <t>Mudroom</t>
        </is>
      </c>
      <c r="E8" s="59" t="inlineStr">
        <is>
          <t>Add window over mudroom bench</t>
        </is>
      </c>
      <c r="F8" s="59" t="inlineStr">
        <is>
          <t>No window</t>
        </is>
      </c>
      <c r="G8" s="59" t="inlineStr">
        <is>
          <t>Andersen 400 Series 2-0 x 3-0 (sample)</t>
        </is>
      </c>
      <c r="H8" s="43" t="n">
        <v>1150</v>
      </c>
      <c r="I8" s="44">
        <f>IF(E8="","",Project!$C$20)</f>
        <v>0.15</v>
      </c>
      <c r="J8" s="35">
        <f>IF(OR(E8="",H8=""),"",H8*(1+IF(I8="",0,I8)))</f>
        <v>1322.5</v>
      </c>
      <c r="K8" s="58" t="n">
        <v>3</v>
      </c>
      <c r="L8" s="40" t="inlineStr">
        <is>
          <t>Client</t>
        </is>
      </c>
      <c r="M8" s="40" t="inlineStr">
        <is>
          <t>Signed</t>
        </is>
      </c>
      <c r="N8" s="40" t="inlineStr">
        <is>
          <t>J. Miller</t>
        </is>
      </c>
      <c r="O8" s="42">
        <f>TODAY()-28</f>
        <v>46258.0</v>
      </c>
      <c r="P8" s="59" t="inlineStr">
        <is>
          <t>Header resized. Framer notified.</t>
        </is>
      </c>
    </row>
    <row r="9" ht="32" customHeight="1">
      <c r="A9" s="77" t="str">
        <f>IF(E9="","","CO-"&amp;TEXT(ROW()-7,"00"))</f>
        <v>CO-02</v>
      </c>
      <c r="B9" s="42">
        <f>TODAY()-18</f>
        <v>46268.0</v>
      </c>
      <c r="C9" s="40" t="inlineStr">
        <is>
          <t>Unforeseen</t>
        </is>
      </c>
      <c r="D9" s="40" t="inlineStr">
        <is>
          <t>Primary Bath</t>
        </is>
      </c>
      <c r="E9" s="59" t="inlineStr">
        <is>
          <t>Floor tile discontinued, replaced</t>
        </is>
      </c>
      <c r="F9" s="59" t="inlineStr">
        <is>
          <t>Original 12x24 tile (discontinued)</t>
        </is>
      </c>
      <c r="G9" s="59" t="inlineStr">
        <is>
          <t>Daltile 12x24 Matte Ash, same price, client picked</t>
        </is>
      </c>
      <c r="H9" s="43" t="n">
        <v>0</v>
      </c>
      <c r="I9" s="44">
        <f>IF(E9="","",Project!$C$20)</f>
        <v>0.15</v>
      </c>
      <c r="J9" s="35">
        <f>IF(OR(E9="",H9=""),"",H9*(1+IF(I9="",0,I9)))</f>
        <v>0</v>
      </c>
      <c r="K9" s="58" t="n">
        <v>0</v>
      </c>
      <c r="L9" s="40" t="inlineStr">
        <is>
          <t>Supplier</t>
        </is>
      </c>
      <c r="M9" s="40" t="inlineStr">
        <is>
          <t>Signed</t>
        </is>
      </c>
      <c r="N9" s="40" t="inlineStr">
        <is>
          <t>J. Miller</t>
        </is>
      </c>
      <c r="O9" s="42">
        <f>TODAY()-17</f>
        <v>46269.0</v>
      </c>
      <c r="P9" s="59" t="inlineStr">
        <is>
          <t>$0, still signed so it is on paper.</t>
        </is>
      </c>
    </row>
    <row r="10" ht="32" customHeight="1">
      <c r="A10" s="77" t="str">
        <f>IF(E10="","","CO-"&amp;TEXT(ROW()-7,"00"))</f>
        <v>CO-03</v>
      </c>
      <c r="B10" s="42">
        <f>TODAY()-6</f>
        <v>46280.0</v>
      </c>
      <c r="C10" s="40" t="inlineStr">
        <is>
          <t>Client swap</t>
        </is>
      </c>
      <c r="D10" s="40" t="inlineStr">
        <is>
          <t>Kitchen</t>
        </is>
      </c>
      <c r="E10" s="59" t="inlineStr">
        <is>
          <t>Farmhouse sink to workstation sink</t>
        </is>
      </c>
      <c r="F10" s="59" t="inlineStr">
        <is>
          <t>Kohler K-6488 (sample)</t>
        </is>
      </c>
      <c r="G10" s="59" t="inlineStr">
        <is>
          <t>Workstation sink with accessories (sample)</t>
        </is>
      </c>
      <c r="H10" s="43" t="n">
        <v>420</v>
      </c>
      <c r="I10" s="44">
        <f>IF(E10="","",Project!$C$20)</f>
        <v>0.15</v>
      </c>
      <c r="J10" s="35">
        <f>IF(OR(E10="",H10=""),"",H10*(1+IF(I10="",0,I10)))</f>
        <v>483</v>
      </c>
      <c r="K10" s="58" t="n">
        <v>2</v>
      </c>
      <c r="L10" s="40" t="inlineStr">
        <is>
          <t>Client</t>
        </is>
      </c>
      <c r="M10" s="40" t="inlineStr">
        <is>
          <t>Sent</t>
        </is>
      </c>
      <c r="N10" s="40" t="n"/>
      <c r="O10" s="42" t="n"/>
      <c r="P10" s="59" t="inlineStr">
        <is>
          <t>Countertop template waits on this.</t>
        </is>
      </c>
    </row>
    <row r="11" ht="32" customHeight="1">
      <c r="A11" s="77" t="str">
        <f>IF(E11="","","CO-"&amp;TEXT(ROW()-7,"00"))</f>
        <v>CO-04</v>
      </c>
      <c r="B11" s="42">
        <f>TODAY()-2</f>
        <v>46284.0</v>
      </c>
      <c r="C11" s="40" t="inlineStr">
        <is>
          <t>Over allowance</t>
        </is>
      </c>
      <c r="D11" s="40" t="inlineStr">
        <is>
          <t>Guest Bath</t>
        </is>
      </c>
      <c r="E11" s="59" t="inlineStr">
        <is>
          <t>Guest bath faucet over allowance</t>
        </is>
      </c>
      <c r="F11" s="59" t="inlineStr">
        <is>
          <t>$400 allowance</t>
        </is>
      </c>
      <c r="G11" s="59" t="inlineStr">
        <is>
          <t>Brizo Luxe Gold, $1,200 (sample)</t>
        </is>
      </c>
      <c r="H11" s="43" t="n">
        <v>800</v>
      </c>
      <c r="I11" s="44" t="n">
        <v>0.1</v>
      </c>
      <c r="J11" s="35">
        <f>IF(OR(E11="",H11=""),"",H11*(1+IF(I11="",0,I11)))</f>
        <v>880</v>
      </c>
      <c r="K11" s="58" t="n">
        <v>0</v>
      </c>
      <c r="L11" s="40" t="inlineStr">
        <is>
          <t>Client</t>
        </is>
      </c>
      <c r="M11" s="40" t="inlineStr">
        <is>
          <t>Draft</t>
        </is>
      </c>
      <c r="N11" s="40" t="n"/>
      <c r="O11" s="42" t="n"/>
      <c r="P11" s="59" t="inlineStr">
        <is>
          <t>Allowance markup rate. Counted on the Allowances tab, not in Signed total.</t>
        </is>
      </c>
    </row>
    <row r="12" ht="32" customHeight="1">
      <c r="A12" s="77" t="str">
        <f>IF(E12="","","CO-"&amp;TEXT(ROW()-7,"00"))</f>
        <v>CO-05</v>
      </c>
      <c r="B12" s="42">
        <f>TODAY()-12</f>
        <v>46274.0</v>
      </c>
      <c r="C12" s="40" t="inlineStr">
        <is>
          <t>Added scope</t>
        </is>
      </c>
      <c r="D12" s="40" t="inlineStr">
        <is>
          <t>Pantry</t>
        </is>
      </c>
      <c r="E12" s="59" t="inlineStr">
        <is>
          <t>Add outlet for coffee station</t>
        </is>
      </c>
      <c r="F12" s="59" t="inlineStr">
        <is>
          <t>No outlet</t>
        </is>
      </c>
      <c r="G12" s="59" t="inlineStr">
        <is>
          <t>Duplex outlet at counter height</t>
        </is>
      </c>
      <c r="H12" s="43" t="n">
        <v>0</v>
      </c>
      <c r="I12" s="44">
        <f>IF(E12="","",Project!$C$20)</f>
        <v>0.15</v>
      </c>
      <c r="J12" s="35">
        <f>IF(OR(E12="",H12=""),"",H12*(1+IF(I12="",0,I12)))</f>
        <v>0</v>
      </c>
      <c r="K12" s="58" t="n">
        <v>0</v>
      </c>
      <c r="L12" s="40" t="inlineStr">
        <is>
          <t>Client</t>
        </is>
      </c>
      <c r="M12" s="40" t="inlineStr">
        <is>
          <t>Signed</t>
        </is>
      </c>
      <c r="N12" s="40" t="inlineStr">
        <is>
          <t>C. Miller</t>
        </is>
      </c>
      <c r="O12" s="42">
        <f>TODAY()-11</f>
        <v>46275.0</v>
      </c>
      <c r="P12" s="59" t="inlineStr">
        <is>
          <t>No charge, goodwill. Signed anyway.</t>
        </is>
      </c>
    </row>
    <row r="13" ht="18" customHeight="1">
      <c r="A13" s="77" t="str">
        <f>IF(E13="","","CO-"&amp;TEXT(ROW()-7,"00"))</f>
        <v/>
      </c>
      <c r="B13" s="42" t="n"/>
      <c r="C13" s="40" t="n"/>
      <c r="D13" s="40" t="n"/>
      <c r="E13" s="59" t="n"/>
      <c r="F13" s="59" t="n"/>
      <c r="G13" s="59" t="n"/>
      <c r="H13" s="43" t="n"/>
      <c r="I13" s="44" t="str">
        <f>IF(E13="","",Project!$C$20)</f>
        <v/>
      </c>
      <c r="J13" s="35" t="str">
        <f>IF(OR(E13="",H13=""),"",H13*(1+IF(I13="",0,I13)))</f>
        <v/>
      </c>
      <c r="K13" s="58" t="n"/>
      <c r="L13" s="40" t="n"/>
      <c r="M13" s="40" t="n"/>
      <c r="N13" s="40" t="n"/>
      <c r="O13" s="42" t="n"/>
      <c r="P13" s="59" t="n"/>
    </row>
    <row r="14" ht="18" customHeight="1">
      <c r="A14" s="77" t="str">
        <f>IF(E14="","","CO-"&amp;TEXT(ROW()-7,"00"))</f>
        <v/>
      </c>
      <c r="B14" s="42" t="n"/>
      <c r="C14" s="40" t="n"/>
      <c r="D14" s="40" t="n"/>
      <c r="E14" s="59" t="n"/>
      <c r="F14" s="59" t="n"/>
      <c r="G14" s="59" t="n"/>
      <c r="H14" s="43" t="n"/>
      <c r="I14" s="44" t="str">
        <f>IF(E14="","",Project!$C$20)</f>
        <v/>
      </c>
      <c r="J14" s="35" t="str">
        <f>IF(OR(E14="",H14=""),"",H14*(1+IF(I14="",0,I14)))</f>
        <v/>
      </c>
      <c r="K14" s="58" t="n"/>
      <c r="L14" s="40" t="n"/>
      <c r="M14" s="40" t="n"/>
      <c r="N14" s="40" t="n"/>
      <c r="O14" s="42" t="n"/>
      <c r="P14" s="59" t="n"/>
    </row>
    <row r="15" ht="18" customHeight="1">
      <c r="A15" s="77" t="str">
        <f>IF(E15="","","CO-"&amp;TEXT(ROW()-7,"00"))</f>
        <v/>
      </c>
      <c r="B15" s="42" t="n"/>
      <c r="C15" s="40" t="n"/>
      <c r="D15" s="40" t="n"/>
      <c r="E15" s="59" t="n"/>
      <c r="F15" s="59" t="n"/>
      <c r="G15" s="59" t="n"/>
      <c r="H15" s="43" t="n"/>
      <c r="I15" s="44" t="str">
        <f>IF(E15="","",Project!$C$20)</f>
        <v/>
      </c>
      <c r="J15" s="35" t="str">
        <f>IF(OR(E15="",H15=""),"",H15*(1+IF(I15="",0,I15)))</f>
        <v/>
      </c>
      <c r="K15" s="58" t="n"/>
      <c r="L15" s="40" t="n"/>
      <c r="M15" s="40" t="n"/>
      <c r="N15" s="40" t="n"/>
      <c r="O15" s="42" t="n"/>
      <c r="P15" s="59" t="n"/>
    </row>
    <row r="16" ht="18" customHeight="1">
      <c r="A16" s="77" t="str">
        <f>IF(E16="","","CO-"&amp;TEXT(ROW()-7,"00"))</f>
        <v/>
      </c>
      <c r="B16" s="42" t="n"/>
      <c r="C16" s="40" t="n"/>
      <c r="D16" s="40" t="n"/>
      <c r="E16" s="59" t="n"/>
      <c r="F16" s="59" t="n"/>
      <c r="G16" s="59" t="n"/>
      <c r="H16" s="43" t="n"/>
      <c r="I16" s="44" t="str">
        <f>IF(E16="","",Project!$C$20)</f>
        <v/>
      </c>
      <c r="J16" s="35" t="str">
        <f>IF(OR(E16="",H16=""),"",H16*(1+IF(I16="",0,I16)))</f>
        <v/>
      </c>
      <c r="K16" s="58" t="n"/>
      <c r="L16" s="40" t="n"/>
      <c r="M16" s="40" t="n"/>
      <c r="N16" s="40" t="n"/>
      <c r="O16" s="42" t="n"/>
      <c r="P16" s="59" t="n"/>
    </row>
    <row r="17" ht="18" customHeight="1">
      <c r="A17" s="77" t="str">
        <f>IF(E17="","","CO-"&amp;TEXT(ROW()-7,"00"))</f>
        <v/>
      </c>
      <c r="B17" s="42" t="n"/>
      <c r="C17" s="40" t="n"/>
      <c r="D17" s="40" t="n"/>
      <c r="E17" s="59" t="n"/>
      <c r="F17" s="59" t="n"/>
      <c r="G17" s="59" t="n"/>
      <c r="H17" s="43" t="n"/>
      <c r="I17" s="44" t="str">
        <f>IF(E17="","",Project!$C$20)</f>
        <v/>
      </c>
      <c r="J17" s="35" t="str">
        <f>IF(OR(E17="",H17=""),"",H17*(1+IF(I17="",0,I17)))</f>
        <v/>
      </c>
      <c r="K17" s="58" t="n"/>
      <c r="L17" s="40" t="n"/>
      <c r="M17" s="40" t="n"/>
      <c r="N17" s="40" t="n"/>
      <c r="O17" s="42" t="n"/>
      <c r="P17" s="59" t="n"/>
    </row>
    <row r="18" ht="18" customHeight="1">
      <c r="A18" s="77" t="str">
        <f>IF(E18="","","CO-"&amp;TEXT(ROW()-7,"00"))</f>
        <v/>
      </c>
      <c r="B18" s="42" t="n"/>
      <c r="C18" s="40" t="n"/>
      <c r="D18" s="40" t="n"/>
      <c r="E18" s="59" t="n"/>
      <c r="F18" s="59" t="n"/>
      <c r="G18" s="59" t="n"/>
      <c r="H18" s="43" t="n"/>
      <c r="I18" s="44" t="str">
        <f>IF(E18="","",Project!$C$20)</f>
        <v/>
      </c>
      <c r="J18" s="35" t="str">
        <f>IF(OR(E18="",H18=""),"",H18*(1+IF(I18="",0,I18)))</f>
        <v/>
      </c>
      <c r="K18" s="58" t="n"/>
      <c r="L18" s="40" t="n"/>
      <c r="M18" s="40" t="n"/>
      <c r="N18" s="40" t="n"/>
      <c r="O18" s="42" t="n"/>
      <c r="P18" s="59" t="n"/>
    </row>
    <row r="19" ht="18" customHeight="1">
      <c r="A19" s="77" t="str">
        <f>IF(E19="","","CO-"&amp;TEXT(ROW()-7,"00"))</f>
        <v/>
      </c>
      <c r="B19" s="42" t="n"/>
      <c r="C19" s="40" t="n"/>
      <c r="D19" s="40" t="n"/>
      <c r="E19" s="59" t="n"/>
      <c r="F19" s="59" t="n"/>
      <c r="G19" s="59" t="n"/>
      <c r="H19" s="43" t="n"/>
      <c r="I19" s="44" t="str">
        <f>IF(E19="","",Project!$C$20)</f>
        <v/>
      </c>
      <c r="J19" s="35" t="str">
        <f>IF(OR(E19="",H19=""),"",H19*(1+IF(I19="",0,I19)))</f>
        <v/>
      </c>
      <c r="K19" s="58" t="n"/>
      <c r="L19" s="40" t="n"/>
      <c r="M19" s="40" t="n"/>
      <c r="N19" s="40" t="n"/>
      <c r="O19" s="42" t="n"/>
      <c r="P19" s="59" t="n"/>
    </row>
    <row r="20" ht="18" customHeight="1">
      <c r="A20" s="77" t="str">
        <f>IF(E20="","","CO-"&amp;TEXT(ROW()-7,"00"))</f>
        <v/>
      </c>
      <c r="B20" s="42" t="n"/>
      <c r="C20" s="40" t="n"/>
      <c r="D20" s="40" t="n"/>
      <c r="E20" s="59" t="n"/>
      <c r="F20" s="59" t="n"/>
      <c r="G20" s="59" t="n"/>
      <c r="H20" s="43" t="n"/>
      <c r="I20" s="44" t="str">
        <f>IF(E20="","",Project!$C$20)</f>
        <v/>
      </c>
      <c r="J20" s="35" t="str">
        <f>IF(OR(E20="",H20=""),"",H20*(1+IF(I20="",0,I20)))</f>
        <v/>
      </c>
      <c r="K20" s="58" t="n"/>
      <c r="L20" s="40" t="n"/>
      <c r="M20" s="40" t="n"/>
      <c r="N20" s="40" t="n"/>
      <c r="O20" s="42" t="n"/>
      <c r="P20" s="59" t="n"/>
    </row>
    <row r="21" ht="18" customHeight="1">
      <c r="A21" s="77" t="str">
        <f>IF(E21="","","CO-"&amp;TEXT(ROW()-7,"00"))</f>
        <v/>
      </c>
      <c r="B21" s="42" t="n"/>
      <c r="C21" s="40" t="n"/>
      <c r="D21" s="40" t="n"/>
      <c r="E21" s="59" t="n"/>
      <c r="F21" s="59" t="n"/>
      <c r="G21" s="59" t="n"/>
      <c r="H21" s="43" t="n"/>
      <c r="I21" s="44" t="str">
        <f>IF(E21="","",Project!$C$20)</f>
        <v/>
      </c>
      <c r="J21" s="35" t="str">
        <f>IF(OR(E21="",H21=""),"",H21*(1+IF(I21="",0,I21)))</f>
        <v/>
      </c>
      <c r="K21" s="58" t="n"/>
      <c r="L21" s="40" t="n"/>
      <c r="M21" s="40" t="n"/>
      <c r="N21" s="40" t="n"/>
      <c r="O21" s="42" t="n"/>
      <c r="P21" s="59" t="n"/>
    </row>
    <row r="22" ht="18" customHeight="1">
      <c r="A22" s="77" t="str">
        <f>IF(E22="","","CO-"&amp;TEXT(ROW()-7,"00"))</f>
        <v/>
      </c>
      <c r="B22" s="42" t="n"/>
      <c r="C22" s="40" t="n"/>
      <c r="D22" s="40" t="n"/>
      <c r="E22" s="59" t="n"/>
      <c r="F22" s="59" t="n"/>
      <c r="G22" s="59" t="n"/>
      <c r="H22" s="43" t="n"/>
      <c r="I22" s="44" t="str">
        <f>IF(E22="","",Project!$C$20)</f>
        <v/>
      </c>
      <c r="J22" s="35" t="str">
        <f>IF(OR(E22="",H22=""),"",H22*(1+IF(I22="",0,I22)))</f>
        <v/>
      </c>
      <c r="K22" s="58" t="n"/>
      <c r="L22" s="40" t="n"/>
      <c r="M22" s="40" t="n"/>
      <c r="N22" s="40" t="n"/>
      <c r="O22" s="42" t="n"/>
      <c r="P22" s="59" t="n"/>
    </row>
    <row r="23" ht="18" customHeight="1">
      <c r="A23" s="77" t="str">
        <f>IF(E23="","","CO-"&amp;TEXT(ROW()-7,"00"))</f>
        <v/>
      </c>
      <c r="B23" s="42" t="n"/>
      <c r="C23" s="40" t="n"/>
      <c r="D23" s="40" t="n"/>
      <c r="E23" s="59" t="n"/>
      <c r="F23" s="59" t="n"/>
      <c r="G23" s="59" t="n"/>
      <c r="H23" s="43" t="n"/>
      <c r="I23" s="44" t="str">
        <f>IF(E23="","",Project!$C$20)</f>
        <v/>
      </c>
      <c r="J23" s="35" t="str">
        <f>IF(OR(E23="",H23=""),"",H23*(1+IF(I23="",0,I23)))</f>
        <v/>
      </c>
      <c r="K23" s="58" t="n"/>
      <c r="L23" s="40" t="n"/>
      <c r="M23" s="40" t="n"/>
      <c r="N23" s="40" t="n"/>
      <c r="O23" s="42" t="n"/>
      <c r="P23" s="59" t="n"/>
    </row>
    <row r="24" ht="18" customHeight="1">
      <c r="A24" s="77" t="str">
        <f>IF(E24="","","CO-"&amp;TEXT(ROW()-7,"00"))</f>
        <v/>
      </c>
      <c r="B24" s="42" t="n"/>
      <c r="C24" s="40" t="n"/>
      <c r="D24" s="40" t="n"/>
      <c r="E24" s="59" t="n"/>
      <c r="F24" s="59" t="n"/>
      <c r="G24" s="59" t="n"/>
      <c r="H24" s="43" t="n"/>
      <c r="I24" s="44" t="str">
        <f>IF(E24="","",Project!$C$20)</f>
        <v/>
      </c>
      <c r="J24" s="35" t="str">
        <f>IF(OR(E24="",H24=""),"",H24*(1+IF(I24="",0,I24)))</f>
        <v/>
      </c>
      <c r="K24" s="58" t="n"/>
      <c r="L24" s="40" t="n"/>
      <c r="M24" s="40" t="n"/>
      <c r="N24" s="40" t="n"/>
      <c r="O24" s="42" t="n"/>
      <c r="P24" s="59" t="n"/>
    </row>
    <row r="25" ht="18" customHeight="1">
      <c r="A25" s="77" t="str">
        <f>IF(E25="","","CO-"&amp;TEXT(ROW()-7,"00"))</f>
        <v/>
      </c>
      <c r="B25" s="42" t="n"/>
      <c r="C25" s="40" t="n"/>
      <c r="D25" s="40" t="n"/>
      <c r="E25" s="59" t="n"/>
      <c r="F25" s="59" t="n"/>
      <c r="G25" s="59" t="n"/>
      <c r="H25" s="43" t="n"/>
      <c r="I25" s="44" t="str">
        <f>IF(E25="","",Project!$C$20)</f>
        <v/>
      </c>
      <c r="J25" s="35" t="str">
        <f>IF(OR(E25="",H25=""),"",H25*(1+IF(I25="",0,I25)))</f>
        <v/>
      </c>
      <c r="K25" s="58" t="n"/>
      <c r="L25" s="40" t="n"/>
      <c r="M25" s="40" t="n"/>
      <c r="N25" s="40" t="n"/>
      <c r="O25" s="42" t="n"/>
      <c r="P25" s="59" t="n"/>
    </row>
    <row r="26" ht="18" customHeight="1">
      <c r="A26" s="77" t="str">
        <f>IF(E26="","","CO-"&amp;TEXT(ROW()-7,"00"))</f>
        <v/>
      </c>
      <c r="B26" s="42" t="n"/>
      <c r="C26" s="40" t="n"/>
      <c r="D26" s="40" t="n"/>
      <c r="E26" s="59" t="n"/>
      <c r="F26" s="59" t="n"/>
      <c r="G26" s="59" t="n"/>
      <c r="H26" s="43" t="n"/>
      <c r="I26" s="44" t="str">
        <f>IF(E26="","",Project!$C$20)</f>
        <v/>
      </c>
      <c r="J26" s="35" t="str">
        <f>IF(OR(E26="",H26=""),"",H26*(1+IF(I26="",0,I26)))</f>
        <v/>
      </c>
      <c r="K26" s="58" t="n"/>
      <c r="L26" s="40" t="n"/>
      <c r="M26" s="40" t="n"/>
      <c r="N26" s="40" t="n"/>
      <c r="O26" s="42" t="n"/>
      <c r="P26" s="59" t="n"/>
    </row>
    <row r="27" ht="18" customHeight="1">
      <c r="A27" s="77" t="str">
        <f>IF(E27="","","CO-"&amp;TEXT(ROW()-7,"00"))</f>
        <v/>
      </c>
      <c r="B27" s="42" t="n"/>
      <c r="C27" s="40" t="n"/>
      <c r="D27" s="40" t="n"/>
      <c r="E27" s="59" t="n"/>
      <c r="F27" s="59" t="n"/>
      <c r="G27" s="59" t="n"/>
      <c r="H27" s="43" t="n"/>
      <c r="I27" s="44" t="str">
        <f>IF(E27="","",Project!$C$20)</f>
        <v/>
      </c>
      <c r="J27" s="35" t="str">
        <f>IF(OR(E27="",H27=""),"",H27*(1+IF(I27="",0,I27)))</f>
        <v/>
      </c>
      <c r="K27" s="58" t="n"/>
      <c r="L27" s="40" t="n"/>
      <c r="M27" s="40" t="n"/>
      <c r="N27" s="40" t="n"/>
      <c r="O27" s="42" t="n"/>
      <c r="P27" s="59" t="n"/>
    </row>
    <row r="28" ht="18" customHeight="1">
      <c r="A28" s="77" t="str">
        <f>IF(E28="","","CO-"&amp;TEXT(ROW()-7,"00"))</f>
        <v/>
      </c>
      <c r="B28" s="42" t="n"/>
      <c r="C28" s="40" t="n"/>
      <c r="D28" s="40" t="n"/>
      <c r="E28" s="59" t="n"/>
      <c r="F28" s="59" t="n"/>
      <c r="G28" s="59" t="n"/>
      <c r="H28" s="43" t="n"/>
      <c r="I28" s="44" t="str">
        <f>IF(E28="","",Project!$C$20)</f>
        <v/>
      </c>
      <c r="J28" s="35" t="str">
        <f>IF(OR(E28="",H28=""),"",H28*(1+IF(I28="",0,I28)))</f>
        <v/>
      </c>
      <c r="K28" s="58" t="n"/>
      <c r="L28" s="40" t="n"/>
      <c r="M28" s="40" t="n"/>
      <c r="N28" s="40" t="n"/>
      <c r="O28" s="42" t="n"/>
      <c r="P28" s="59" t="n"/>
    </row>
    <row r="29" ht="18" customHeight="1">
      <c r="A29" s="77" t="str">
        <f>IF(E29="","","CO-"&amp;TEXT(ROW()-7,"00"))</f>
        <v/>
      </c>
      <c r="B29" s="42" t="n"/>
      <c r="C29" s="40" t="n"/>
      <c r="D29" s="40" t="n"/>
      <c r="E29" s="59" t="n"/>
      <c r="F29" s="59" t="n"/>
      <c r="G29" s="59" t="n"/>
      <c r="H29" s="43" t="n"/>
      <c r="I29" s="44" t="str">
        <f>IF(E29="","",Project!$C$20)</f>
        <v/>
      </c>
      <c r="J29" s="35" t="str">
        <f>IF(OR(E29="",H29=""),"",H29*(1+IF(I29="",0,I29)))</f>
        <v/>
      </c>
      <c r="K29" s="58" t="n"/>
      <c r="L29" s="40" t="n"/>
      <c r="M29" s="40" t="n"/>
      <c r="N29" s="40" t="n"/>
      <c r="O29" s="42" t="n"/>
      <c r="P29" s="59" t="n"/>
    </row>
    <row r="30" ht="18" customHeight="1">
      <c r="A30" s="77" t="str">
        <f>IF(E30="","","CO-"&amp;TEXT(ROW()-7,"00"))</f>
        <v/>
      </c>
      <c r="B30" s="42" t="n"/>
      <c r="C30" s="40" t="n"/>
      <c r="D30" s="40" t="n"/>
      <c r="E30" s="59" t="n"/>
      <c r="F30" s="59" t="n"/>
      <c r="G30" s="59" t="n"/>
      <c r="H30" s="43" t="n"/>
      <c r="I30" s="44" t="str">
        <f>IF(E30="","",Project!$C$20)</f>
        <v/>
      </c>
      <c r="J30" s="35" t="str">
        <f>IF(OR(E30="",H30=""),"",H30*(1+IF(I30="",0,I30)))</f>
        <v/>
      </c>
      <c r="K30" s="58" t="n"/>
      <c r="L30" s="40" t="n"/>
      <c r="M30" s="40" t="n"/>
      <c r="N30" s="40" t="n"/>
      <c r="O30" s="42" t="n"/>
      <c r="P30" s="59" t="n"/>
    </row>
    <row r="31" ht="18" customHeight="1">
      <c r="A31" s="77" t="str">
        <f>IF(E31="","","CO-"&amp;TEXT(ROW()-7,"00"))</f>
        <v/>
      </c>
      <c r="B31" s="42" t="n"/>
      <c r="C31" s="40" t="n"/>
      <c r="D31" s="40" t="n"/>
      <c r="E31" s="59" t="n"/>
      <c r="F31" s="59" t="n"/>
      <c r="G31" s="59" t="n"/>
      <c r="H31" s="43" t="n"/>
      <c r="I31" s="44" t="str">
        <f>IF(E31="","",Project!$C$20)</f>
        <v/>
      </c>
      <c r="J31" s="35" t="str">
        <f>IF(OR(E31="",H31=""),"",H31*(1+IF(I31="",0,I31)))</f>
        <v/>
      </c>
      <c r="K31" s="58" t="n"/>
      <c r="L31" s="40" t="n"/>
      <c r="M31" s="40" t="n"/>
      <c r="N31" s="40" t="n"/>
      <c r="O31" s="42" t="n"/>
      <c r="P31" s="59" t="n"/>
    </row>
    <row r="32" ht="18" customHeight="1">
      <c r="A32" s="77" t="str">
        <f>IF(E32="","","CO-"&amp;TEXT(ROW()-7,"00"))</f>
        <v/>
      </c>
      <c r="B32" s="42" t="n"/>
      <c r="C32" s="40" t="n"/>
      <c r="D32" s="40" t="n"/>
      <c r="E32" s="59" t="n"/>
      <c r="F32" s="59" t="n"/>
      <c r="G32" s="59" t="n"/>
      <c r="H32" s="43" t="n"/>
      <c r="I32" s="44" t="str">
        <f>IF(E32="","",Project!$C$20)</f>
        <v/>
      </c>
      <c r="J32" s="35" t="str">
        <f>IF(OR(E32="",H32=""),"",H32*(1+IF(I32="",0,I32)))</f>
        <v/>
      </c>
      <c r="K32" s="58" t="n"/>
      <c r="L32" s="40" t="n"/>
      <c r="M32" s="40" t="n"/>
      <c r="N32" s="40" t="n"/>
      <c r="O32" s="42" t="n"/>
      <c r="P32" s="59" t="n"/>
    </row>
    <row r="33" ht="18" customHeight="1">
      <c r="A33" s="77" t="str">
        <f>IF(E33="","","CO-"&amp;TEXT(ROW()-7,"00"))</f>
        <v/>
      </c>
      <c r="B33" s="42" t="n"/>
      <c r="C33" s="40" t="n"/>
      <c r="D33" s="40" t="n"/>
      <c r="E33" s="59" t="n"/>
      <c r="F33" s="59" t="n"/>
      <c r="G33" s="59" t="n"/>
      <c r="H33" s="43" t="n"/>
      <c r="I33" s="44" t="str">
        <f>IF(E33="","",Project!$C$20)</f>
        <v/>
      </c>
      <c r="J33" s="35" t="str">
        <f>IF(OR(E33="",H33=""),"",H33*(1+IF(I33="",0,I33)))</f>
        <v/>
      </c>
      <c r="K33" s="58" t="n"/>
      <c r="L33" s="40" t="n"/>
      <c r="M33" s="40" t="n"/>
      <c r="N33" s="40" t="n"/>
      <c r="O33" s="42" t="n"/>
      <c r="P33" s="59" t="n"/>
    </row>
    <row r="34" ht="18" customHeight="1">
      <c r="A34" s="77" t="str">
        <f>IF(E34="","","CO-"&amp;TEXT(ROW()-7,"00"))</f>
        <v/>
      </c>
      <c r="B34" s="42" t="n"/>
      <c r="C34" s="40" t="n"/>
      <c r="D34" s="40" t="n"/>
      <c r="E34" s="59" t="n"/>
      <c r="F34" s="59" t="n"/>
      <c r="G34" s="59" t="n"/>
      <c r="H34" s="43" t="n"/>
      <c r="I34" s="44" t="str">
        <f>IF(E34="","",Project!$C$20)</f>
        <v/>
      </c>
      <c r="J34" s="35" t="str">
        <f>IF(OR(E34="",H34=""),"",H34*(1+IF(I34="",0,I34)))</f>
        <v/>
      </c>
      <c r="K34" s="58" t="n"/>
      <c r="L34" s="40" t="n"/>
      <c r="M34" s="40" t="n"/>
      <c r="N34" s="40" t="n"/>
      <c r="O34" s="42" t="n"/>
      <c r="P34" s="59" t="n"/>
    </row>
    <row r="35" ht="18" customHeight="1">
      <c r="A35" s="77" t="str">
        <f>IF(E35="","","CO-"&amp;TEXT(ROW()-7,"00"))</f>
        <v/>
      </c>
      <c r="B35" s="42" t="n"/>
      <c r="C35" s="40" t="n"/>
      <c r="D35" s="40" t="n"/>
      <c r="E35" s="59" t="n"/>
      <c r="F35" s="59" t="n"/>
      <c r="G35" s="59" t="n"/>
      <c r="H35" s="43" t="n"/>
      <c r="I35" s="44" t="str">
        <f>IF(E35="","",Project!$C$20)</f>
        <v/>
      </c>
      <c r="J35" s="35" t="str">
        <f>IF(OR(E35="",H35=""),"",H35*(1+IF(I35="",0,I35)))</f>
        <v/>
      </c>
      <c r="K35" s="58" t="n"/>
      <c r="L35" s="40" t="n"/>
      <c r="M35" s="40" t="n"/>
      <c r="N35" s="40" t="n"/>
      <c r="O35" s="42" t="n"/>
      <c r="P35" s="59" t="n"/>
    </row>
    <row r="36" ht="18" customHeight="1">
      <c r="A36" s="77" t="str">
        <f>IF(E36="","","CO-"&amp;TEXT(ROW()-7,"00"))</f>
        <v/>
      </c>
      <c r="B36" s="42" t="n"/>
      <c r="C36" s="40" t="n"/>
      <c r="D36" s="40" t="n"/>
      <c r="E36" s="59" t="n"/>
      <c r="F36" s="59" t="n"/>
      <c r="G36" s="59" t="n"/>
      <c r="H36" s="43" t="n"/>
      <c r="I36" s="44" t="str">
        <f>IF(E36="","",Project!$C$20)</f>
        <v/>
      </c>
      <c r="J36" s="35" t="str">
        <f>IF(OR(E36="",H36=""),"",H36*(1+IF(I36="",0,I36)))</f>
        <v/>
      </c>
      <c r="K36" s="58" t="n"/>
      <c r="L36" s="40" t="n"/>
      <c r="M36" s="40" t="n"/>
      <c r="N36" s="40" t="n"/>
      <c r="O36" s="42" t="n"/>
      <c r="P36" s="59" t="n"/>
    </row>
    <row r="37" ht="18" customHeight="1">
      <c r="A37" s="77" t="str">
        <f>IF(E37="","","CO-"&amp;TEXT(ROW()-7,"00"))</f>
        <v/>
      </c>
      <c r="B37" s="42" t="n"/>
      <c r="C37" s="40" t="n"/>
      <c r="D37" s="40" t="n"/>
      <c r="E37" s="59" t="n"/>
      <c r="F37" s="59" t="n"/>
      <c r="G37" s="59" t="n"/>
      <c r="H37" s="43" t="n"/>
      <c r="I37" s="44" t="str">
        <f>IF(E37="","",Project!$C$20)</f>
        <v/>
      </c>
      <c r="J37" s="35" t="str">
        <f>IF(OR(E37="",H37=""),"",H37*(1+IF(I37="",0,I37)))</f>
        <v/>
      </c>
      <c r="K37" s="58" t="n"/>
      <c r="L37" s="40" t="n"/>
      <c r="M37" s="40" t="n"/>
      <c r="N37" s="40" t="n"/>
      <c r="O37" s="42" t="n"/>
      <c r="P37" s="59" t="n"/>
    </row>
    <row r="38" ht="18" customHeight="1">
      <c r="A38" s="77" t="str">
        <f>IF(E38="","","CO-"&amp;TEXT(ROW()-7,"00"))</f>
        <v/>
      </c>
      <c r="B38" s="42" t="n"/>
      <c r="C38" s="40" t="n"/>
      <c r="D38" s="40" t="n"/>
      <c r="E38" s="59" t="n"/>
      <c r="F38" s="59" t="n"/>
      <c r="G38" s="59" t="n"/>
      <c r="H38" s="43" t="n"/>
      <c r="I38" s="44" t="str">
        <f>IF(E38="","",Project!$C$20)</f>
        <v/>
      </c>
      <c r="J38" s="35" t="str">
        <f>IF(OR(E38="",H38=""),"",H38*(1+IF(I38="",0,I38)))</f>
        <v/>
      </c>
      <c r="K38" s="58" t="n"/>
      <c r="L38" s="40" t="n"/>
      <c r="M38" s="40" t="n"/>
      <c r="N38" s="40" t="n"/>
      <c r="O38" s="42" t="n"/>
      <c r="P38" s="59" t="n"/>
    </row>
    <row r="39" ht="18" customHeight="1">
      <c r="A39" s="77" t="str">
        <f>IF(E39="","","CO-"&amp;TEXT(ROW()-7,"00"))</f>
        <v/>
      </c>
      <c r="B39" s="42" t="n"/>
      <c r="C39" s="40" t="n"/>
      <c r="D39" s="40" t="n"/>
      <c r="E39" s="59" t="n"/>
      <c r="F39" s="59" t="n"/>
      <c r="G39" s="59" t="n"/>
      <c r="H39" s="43" t="n"/>
      <c r="I39" s="44" t="str">
        <f>IF(E39="","",Project!$C$20)</f>
        <v/>
      </c>
      <c r="J39" s="35" t="str">
        <f>IF(OR(E39="",H39=""),"",H39*(1+IF(I39="",0,I39)))</f>
        <v/>
      </c>
      <c r="K39" s="58" t="n"/>
      <c r="L39" s="40" t="n"/>
      <c r="M39" s="40" t="n"/>
      <c r="N39" s="40" t="n"/>
      <c r="O39" s="42" t="n"/>
      <c r="P39" s="59" t="n"/>
    </row>
    <row r="40" ht="18" customHeight="1">
      <c r="A40" s="77" t="str">
        <f>IF(E40="","","CO-"&amp;TEXT(ROW()-7,"00"))</f>
        <v/>
      </c>
      <c r="B40" s="42" t="n"/>
      <c r="C40" s="40" t="n"/>
      <c r="D40" s="40" t="n"/>
      <c r="E40" s="59" t="n"/>
      <c r="F40" s="59" t="n"/>
      <c r="G40" s="59" t="n"/>
      <c r="H40" s="43" t="n"/>
      <c r="I40" s="44" t="str">
        <f>IF(E40="","",Project!$C$20)</f>
        <v/>
      </c>
      <c r="J40" s="35" t="str">
        <f>IF(OR(E40="",H40=""),"",H40*(1+IF(I40="",0,I40)))</f>
        <v/>
      </c>
      <c r="K40" s="58" t="n"/>
      <c r="L40" s="40" t="n"/>
      <c r="M40" s="40" t="n"/>
      <c r="N40" s="40" t="n"/>
      <c r="O40" s="42" t="n"/>
      <c r="P40" s="59" t="n"/>
    </row>
    <row r="41" ht="18" customHeight="1">
      <c r="A41" s="77" t="str">
        <f>IF(E41="","","CO-"&amp;TEXT(ROW()-7,"00"))</f>
        <v/>
      </c>
      <c r="B41" s="42" t="n"/>
      <c r="C41" s="40" t="n"/>
      <c r="D41" s="40" t="n"/>
      <c r="E41" s="59" t="n"/>
      <c r="F41" s="59" t="n"/>
      <c r="G41" s="59" t="n"/>
      <c r="H41" s="43" t="n"/>
      <c r="I41" s="44" t="str">
        <f>IF(E41="","",Project!$C$20)</f>
        <v/>
      </c>
      <c r="J41" s="35" t="str">
        <f>IF(OR(E41="",H41=""),"",H41*(1+IF(I41="",0,I41)))</f>
        <v/>
      </c>
      <c r="K41" s="58" t="n"/>
      <c r="L41" s="40" t="n"/>
      <c r="M41" s="40" t="n"/>
      <c r="N41" s="40" t="n"/>
      <c r="O41" s="42" t="n"/>
      <c r="P41" s="59" t="n"/>
    </row>
    <row r="42" ht="18" customHeight="1">
      <c r="A42" s="77" t="str">
        <f>IF(E42="","","CO-"&amp;TEXT(ROW()-7,"00"))</f>
        <v/>
      </c>
      <c r="B42" s="42" t="n"/>
      <c r="C42" s="40" t="n"/>
      <c r="D42" s="40" t="n"/>
      <c r="E42" s="59" t="n"/>
      <c r="F42" s="59" t="n"/>
      <c r="G42" s="59" t="n"/>
      <c r="H42" s="43" t="n"/>
      <c r="I42" s="44" t="str">
        <f>IF(E42="","",Project!$C$20)</f>
        <v/>
      </c>
      <c r="J42" s="35" t="str">
        <f>IF(OR(E42="",H42=""),"",H42*(1+IF(I42="",0,I42)))</f>
        <v/>
      </c>
      <c r="K42" s="58" t="n"/>
      <c r="L42" s="40" t="n"/>
      <c r="M42" s="40" t="n"/>
      <c r="N42" s="40" t="n"/>
      <c r="O42" s="42" t="n"/>
      <c r="P42" s="59" t="n"/>
    </row>
    <row r="43" ht="18" customHeight="1">
      <c r="A43" s="77" t="str">
        <f>IF(E43="","","CO-"&amp;TEXT(ROW()-7,"00"))</f>
        <v/>
      </c>
      <c r="B43" s="42" t="n"/>
      <c r="C43" s="40" t="n"/>
      <c r="D43" s="40" t="n"/>
      <c r="E43" s="59" t="n"/>
      <c r="F43" s="59" t="n"/>
      <c r="G43" s="59" t="n"/>
      <c r="H43" s="43" t="n"/>
      <c r="I43" s="44" t="str">
        <f>IF(E43="","",Project!$C$20)</f>
        <v/>
      </c>
      <c r="J43" s="35" t="str">
        <f>IF(OR(E43="",H43=""),"",H43*(1+IF(I43="",0,I43)))</f>
        <v/>
      </c>
      <c r="K43" s="58" t="n"/>
      <c r="L43" s="40" t="n"/>
      <c r="M43" s="40" t="n"/>
      <c r="N43" s="40" t="n"/>
      <c r="O43" s="42" t="n"/>
      <c r="P43" s="59" t="n"/>
    </row>
    <row r="44" ht="18" customHeight="1">
      <c r="A44" s="77" t="str">
        <f>IF(E44="","","CO-"&amp;TEXT(ROW()-7,"00"))</f>
        <v/>
      </c>
      <c r="B44" s="42" t="n"/>
      <c r="C44" s="40" t="n"/>
      <c r="D44" s="40" t="n"/>
      <c r="E44" s="59" t="n"/>
      <c r="F44" s="59" t="n"/>
      <c r="G44" s="59" t="n"/>
      <c r="H44" s="43" t="n"/>
      <c r="I44" s="44" t="str">
        <f>IF(E44="","",Project!$C$20)</f>
        <v/>
      </c>
      <c r="J44" s="35" t="str">
        <f>IF(OR(E44="",H44=""),"",H44*(1+IF(I44="",0,I44)))</f>
        <v/>
      </c>
      <c r="K44" s="58" t="n"/>
      <c r="L44" s="40" t="n"/>
      <c r="M44" s="40" t="n"/>
      <c r="N44" s="40" t="n"/>
      <c r="O44" s="42" t="n"/>
      <c r="P44" s="59" t="n"/>
    </row>
    <row r="45" ht="18" customHeight="1">
      <c r="A45" s="77" t="str">
        <f>IF(E45="","","CO-"&amp;TEXT(ROW()-7,"00"))</f>
        <v/>
      </c>
      <c r="B45" s="42" t="n"/>
      <c r="C45" s="40" t="n"/>
      <c r="D45" s="40" t="n"/>
      <c r="E45" s="59" t="n"/>
      <c r="F45" s="59" t="n"/>
      <c r="G45" s="59" t="n"/>
      <c r="H45" s="43" t="n"/>
      <c r="I45" s="44" t="str">
        <f>IF(E45="","",Project!$C$20)</f>
        <v/>
      </c>
      <c r="J45" s="35" t="str">
        <f>IF(OR(E45="",H45=""),"",H45*(1+IF(I45="",0,I45)))</f>
        <v/>
      </c>
      <c r="K45" s="58" t="n"/>
      <c r="L45" s="40" t="n"/>
      <c r="M45" s="40" t="n"/>
      <c r="N45" s="40" t="n"/>
      <c r="O45" s="42" t="n"/>
      <c r="P45" s="59" t="n"/>
    </row>
    <row r="46" ht="18" customHeight="1">
      <c r="A46" s="77" t="str">
        <f>IF(E46="","","CO-"&amp;TEXT(ROW()-7,"00"))</f>
        <v/>
      </c>
      <c r="B46" s="42" t="n"/>
      <c r="C46" s="40" t="n"/>
      <c r="D46" s="40" t="n"/>
      <c r="E46" s="59" t="n"/>
      <c r="F46" s="59" t="n"/>
      <c r="G46" s="59" t="n"/>
      <c r="H46" s="43" t="n"/>
      <c r="I46" s="44" t="str">
        <f>IF(E46="","",Project!$C$20)</f>
        <v/>
      </c>
      <c r="J46" s="35" t="str">
        <f>IF(OR(E46="",H46=""),"",H46*(1+IF(I46="",0,I46)))</f>
        <v/>
      </c>
      <c r="K46" s="58" t="n"/>
      <c r="L46" s="40" t="n"/>
      <c r="M46" s="40" t="n"/>
      <c r="N46" s="40" t="n"/>
      <c r="O46" s="42" t="n"/>
      <c r="P46" s="59" t="n"/>
    </row>
    <row r="47" ht="18" customHeight="1">
      <c r="A47" s="77" t="str">
        <f>IF(E47="","","CO-"&amp;TEXT(ROW()-7,"00"))</f>
        <v/>
      </c>
      <c r="B47" s="42" t="n"/>
      <c r="C47" s="40" t="n"/>
      <c r="D47" s="40" t="n"/>
      <c r="E47" s="59" t="n"/>
      <c r="F47" s="59" t="n"/>
      <c r="G47" s="59" t="n"/>
      <c r="H47" s="43" t="n"/>
      <c r="I47" s="44" t="str">
        <f>IF(E47="","",Project!$C$20)</f>
        <v/>
      </c>
      <c r="J47" s="35" t="str">
        <f>IF(OR(E47="",H47=""),"",H47*(1+IF(I47="",0,I47)))</f>
        <v/>
      </c>
      <c r="K47" s="58" t="n"/>
      <c r="L47" s="40" t="n"/>
      <c r="M47" s="40" t="n"/>
      <c r="N47" s="40" t="n"/>
      <c r="O47" s="42" t="n"/>
      <c r="P47" s="59" t="n"/>
    </row>
    <row r="48" ht="18" customHeight="1">
      <c r="A48" s="77" t="str">
        <f>IF(E48="","","CO-"&amp;TEXT(ROW()-7,"00"))</f>
        <v/>
      </c>
      <c r="B48" s="42" t="n"/>
      <c r="C48" s="40" t="n"/>
      <c r="D48" s="40" t="n"/>
      <c r="E48" s="59" t="n"/>
      <c r="F48" s="59" t="n"/>
      <c r="G48" s="59" t="n"/>
      <c r="H48" s="43" t="n"/>
      <c r="I48" s="44" t="str">
        <f>IF(E48="","",Project!$C$20)</f>
        <v/>
      </c>
      <c r="J48" s="35" t="str">
        <f>IF(OR(E48="",H48=""),"",H48*(1+IF(I48="",0,I48)))</f>
        <v/>
      </c>
      <c r="K48" s="58" t="n"/>
      <c r="L48" s="40" t="n"/>
      <c r="M48" s="40" t="n"/>
      <c r="N48" s="40" t="n"/>
      <c r="O48" s="42" t="n"/>
      <c r="P48" s="59" t="n"/>
    </row>
    <row r="49" ht="18" customHeight="1">
      <c r="A49" s="77" t="str">
        <f>IF(E49="","","CO-"&amp;TEXT(ROW()-7,"00"))</f>
        <v/>
      </c>
      <c r="B49" s="42" t="n"/>
      <c r="C49" s="40" t="n"/>
      <c r="D49" s="40" t="n"/>
      <c r="E49" s="59" t="n"/>
      <c r="F49" s="59" t="n"/>
      <c r="G49" s="59" t="n"/>
      <c r="H49" s="43" t="n"/>
      <c r="I49" s="44" t="str">
        <f>IF(E49="","",Project!$C$20)</f>
        <v/>
      </c>
      <c r="J49" s="35" t="str">
        <f>IF(OR(E49="",H49=""),"",H49*(1+IF(I49="",0,I49)))</f>
        <v/>
      </c>
      <c r="K49" s="58" t="n"/>
      <c r="L49" s="40" t="n"/>
      <c r="M49" s="40" t="n"/>
      <c r="N49" s="40" t="n"/>
      <c r="O49" s="42" t="n"/>
      <c r="P49" s="59" t="n"/>
    </row>
    <row r="50" ht="18" customHeight="1">
      <c r="A50" s="77" t="str">
        <f>IF(E50="","","CO-"&amp;TEXT(ROW()-7,"00"))</f>
        <v/>
      </c>
      <c r="B50" s="42" t="n"/>
      <c r="C50" s="40" t="n"/>
      <c r="D50" s="40" t="n"/>
      <c r="E50" s="59" t="n"/>
      <c r="F50" s="59" t="n"/>
      <c r="G50" s="59" t="n"/>
      <c r="H50" s="43" t="n"/>
      <c r="I50" s="44" t="str">
        <f>IF(E50="","",Project!$C$20)</f>
        <v/>
      </c>
      <c r="J50" s="35" t="str">
        <f>IF(OR(E50="",H50=""),"",H50*(1+IF(I50="",0,I50)))</f>
        <v/>
      </c>
      <c r="K50" s="58" t="n"/>
      <c r="L50" s="40" t="n"/>
      <c r="M50" s="40" t="n"/>
      <c r="N50" s="40" t="n"/>
      <c r="O50" s="42" t="n"/>
      <c r="P50" s="59" t="n"/>
    </row>
    <row r="51" ht="18" customHeight="1">
      <c r="A51" s="77" t="str">
        <f>IF(E51="","","CO-"&amp;TEXT(ROW()-7,"00"))</f>
        <v/>
      </c>
      <c r="B51" s="42" t="n"/>
      <c r="C51" s="40" t="n"/>
      <c r="D51" s="40" t="n"/>
      <c r="E51" s="59" t="n"/>
      <c r="F51" s="59" t="n"/>
      <c r="G51" s="59" t="n"/>
      <c r="H51" s="43" t="n"/>
      <c r="I51" s="44" t="str">
        <f>IF(E51="","",Project!$C$20)</f>
        <v/>
      </c>
      <c r="J51" s="35" t="str">
        <f>IF(OR(E51="",H51=""),"",H51*(1+IF(I51="",0,I51)))</f>
        <v/>
      </c>
      <c r="K51" s="58" t="n"/>
      <c r="L51" s="40" t="n"/>
      <c r="M51" s="40" t="n"/>
      <c r="N51" s="40" t="n"/>
      <c r="O51" s="42" t="n"/>
      <c r="P51" s="59" t="n"/>
    </row>
    <row r="52" ht="18" customHeight="1">
      <c r="A52" s="77" t="str">
        <f>IF(E52="","","CO-"&amp;TEXT(ROW()-7,"00"))</f>
        <v/>
      </c>
      <c r="B52" s="42" t="n"/>
      <c r="C52" s="40" t="n"/>
      <c r="D52" s="40" t="n"/>
      <c r="E52" s="59" t="n"/>
      <c r="F52" s="59" t="n"/>
      <c r="G52" s="59" t="n"/>
      <c r="H52" s="43" t="n"/>
      <c r="I52" s="44" t="str">
        <f>IF(E52="","",Project!$C$20)</f>
        <v/>
      </c>
      <c r="J52" s="35" t="str">
        <f>IF(OR(E52="",H52=""),"",H52*(1+IF(I52="",0,I52)))</f>
        <v/>
      </c>
      <c r="K52" s="58" t="n"/>
      <c r="L52" s="40" t="n"/>
      <c r="M52" s="40" t="n"/>
      <c r="N52" s="40" t="n"/>
      <c r="O52" s="42" t="n"/>
      <c r="P52" s="59" t="n"/>
    </row>
    <row r="53" ht="18" customHeight="1">
      <c r="A53" s="77" t="str">
        <f>IF(E53="","","CO-"&amp;TEXT(ROW()-7,"00"))</f>
        <v/>
      </c>
      <c r="B53" s="42" t="n"/>
      <c r="C53" s="40" t="n"/>
      <c r="D53" s="40" t="n"/>
      <c r="E53" s="59" t="n"/>
      <c r="F53" s="59" t="n"/>
      <c r="G53" s="59" t="n"/>
      <c r="H53" s="43" t="n"/>
      <c r="I53" s="44" t="str">
        <f>IF(E53="","",Project!$C$20)</f>
        <v/>
      </c>
      <c r="J53" s="35" t="str">
        <f>IF(OR(E53="",H53=""),"",H53*(1+IF(I53="",0,I53)))</f>
        <v/>
      </c>
      <c r="K53" s="58" t="n"/>
      <c r="L53" s="40" t="n"/>
      <c r="M53" s="40" t="n"/>
      <c r="N53" s="40" t="n"/>
      <c r="O53" s="42" t="n"/>
      <c r="P53" s="59" t="n"/>
    </row>
    <row r="54" ht="18" customHeight="1">
      <c r="A54" s="77" t="str">
        <f>IF(E54="","","CO-"&amp;TEXT(ROW()-7,"00"))</f>
        <v/>
      </c>
      <c r="B54" s="42" t="n"/>
      <c r="C54" s="40" t="n"/>
      <c r="D54" s="40" t="n"/>
      <c r="E54" s="59" t="n"/>
      <c r="F54" s="59" t="n"/>
      <c r="G54" s="59" t="n"/>
      <c r="H54" s="43" t="n"/>
      <c r="I54" s="44" t="str">
        <f>IF(E54="","",Project!$C$20)</f>
        <v/>
      </c>
      <c r="J54" s="35" t="str">
        <f>IF(OR(E54="",H54=""),"",H54*(1+IF(I54="",0,I54)))</f>
        <v/>
      </c>
      <c r="K54" s="58" t="n"/>
      <c r="L54" s="40" t="n"/>
      <c r="M54" s="40" t="n"/>
      <c r="N54" s="40" t="n"/>
      <c r="O54" s="42" t="n"/>
      <c r="P54" s="59" t="n"/>
    </row>
    <row r="55" ht="18" customHeight="1">
      <c r="A55" s="77" t="str">
        <f>IF(E55="","","CO-"&amp;TEXT(ROW()-7,"00"))</f>
        <v/>
      </c>
      <c r="B55" s="42" t="n"/>
      <c r="C55" s="40" t="n"/>
      <c r="D55" s="40" t="n"/>
      <c r="E55" s="59" t="n"/>
      <c r="F55" s="59" t="n"/>
      <c r="G55" s="59" t="n"/>
      <c r="H55" s="43" t="n"/>
      <c r="I55" s="44" t="str">
        <f>IF(E55="","",Project!$C$20)</f>
        <v/>
      </c>
      <c r="J55" s="35" t="str">
        <f>IF(OR(E55="",H55=""),"",H55*(1+IF(I55="",0,I55)))</f>
        <v/>
      </c>
      <c r="K55" s="58" t="n"/>
      <c r="L55" s="40" t="n"/>
      <c r="M55" s="40" t="n"/>
      <c r="N55" s="40" t="n"/>
      <c r="O55" s="42" t="n"/>
      <c r="P55" s="59" t="n"/>
    </row>
    <row r="56" ht="18" customHeight="1">
      <c r="A56" s="77" t="str">
        <f>IF(E56="","","CO-"&amp;TEXT(ROW()-7,"00"))</f>
        <v/>
      </c>
      <c r="B56" s="42" t="n"/>
      <c r="C56" s="40" t="n"/>
      <c r="D56" s="40" t="n"/>
      <c r="E56" s="59" t="n"/>
      <c r="F56" s="59" t="n"/>
      <c r="G56" s="59" t="n"/>
      <c r="H56" s="43" t="n"/>
      <c r="I56" s="44" t="str">
        <f>IF(E56="","",Project!$C$20)</f>
        <v/>
      </c>
      <c r="J56" s="35" t="str">
        <f>IF(OR(E56="",H56=""),"",H56*(1+IF(I56="",0,I56)))</f>
        <v/>
      </c>
      <c r="K56" s="58" t="n"/>
      <c r="L56" s="40" t="n"/>
      <c r="M56" s="40" t="n"/>
      <c r="N56" s="40" t="n"/>
      <c r="O56" s="42" t="n"/>
      <c r="P56" s="59" t="n"/>
    </row>
    <row r="57" ht="18" customHeight="1">
      <c r="A57" s="77" t="str">
        <f>IF(E57="","","CO-"&amp;TEXT(ROW()-7,"00"))</f>
        <v/>
      </c>
      <c r="B57" s="42" t="n"/>
      <c r="C57" s="40" t="n"/>
      <c r="D57" s="40" t="n"/>
      <c r="E57" s="59" t="n"/>
      <c r="F57" s="59" t="n"/>
      <c r="G57" s="59" t="n"/>
      <c r="H57" s="43" t="n"/>
      <c r="I57" s="44" t="str">
        <f>IF(E57="","",Project!$C$20)</f>
        <v/>
      </c>
      <c r="J57" s="35" t="str">
        <f>IF(OR(E57="",H57=""),"",H57*(1+IF(I57="",0,I57)))</f>
        <v/>
      </c>
      <c r="K57" s="58" t="n"/>
      <c r="L57" s="40" t="n"/>
      <c r="M57" s="40" t="n"/>
      <c r="N57" s="40" t="n"/>
      <c r="O57" s="42" t="n"/>
      <c r="P57" s="59" t="n"/>
    </row>
    <row r="58" ht="18" customHeight="1">
      <c r="A58" s="77" t="str">
        <f>IF(E58="","","CO-"&amp;TEXT(ROW()-7,"00"))</f>
        <v/>
      </c>
      <c r="B58" s="42" t="n"/>
      <c r="C58" s="40" t="n"/>
      <c r="D58" s="40" t="n"/>
      <c r="E58" s="59" t="n"/>
      <c r="F58" s="59" t="n"/>
      <c r="G58" s="59" t="n"/>
      <c r="H58" s="43" t="n"/>
      <c r="I58" s="44" t="str">
        <f>IF(E58="","",Project!$C$20)</f>
        <v/>
      </c>
      <c r="J58" s="35" t="str">
        <f>IF(OR(E58="",H58=""),"",H58*(1+IF(I58="",0,I58)))</f>
        <v/>
      </c>
      <c r="K58" s="58" t="n"/>
      <c r="L58" s="40" t="n"/>
      <c r="M58" s="40" t="n"/>
      <c r="N58" s="40" t="n"/>
      <c r="O58" s="42" t="n"/>
      <c r="P58" s="59" t="n"/>
    </row>
    <row r="59" ht="18" customHeight="1">
      <c r="A59" s="77" t="str">
        <f>IF(E59="","","CO-"&amp;TEXT(ROW()-7,"00"))</f>
        <v/>
      </c>
      <c r="B59" s="42" t="n"/>
      <c r="C59" s="40" t="n"/>
      <c r="D59" s="40" t="n"/>
      <c r="E59" s="59" t="n"/>
      <c r="F59" s="59" t="n"/>
      <c r="G59" s="59" t="n"/>
      <c r="H59" s="43" t="n"/>
      <c r="I59" s="44" t="str">
        <f>IF(E59="","",Project!$C$20)</f>
        <v/>
      </c>
      <c r="J59" s="35" t="str">
        <f>IF(OR(E59="",H59=""),"",H59*(1+IF(I59="",0,I59)))</f>
        <v/>
      </c>
      <c r="K59" s="58" t="n"/>
      <c r="L59" s="40" t="n"/>
      <c r="M59" s="40" t="n"/>
      <c r="N59" s="40" t="n"/>
      <c r="O59" s="42" t="n"/>
      <c r="P59" s="59" t="n"/>
    </row>
    <row r="60" ht="18" customHeight="1">
      <c r="A60" s="77" t="str">
        <f>IF(E60="","","CO-"&amp;TEXT(ROW()-7,"00"))</f>
        <v/>
      </c>
      <c r="B60" s="42" t="n"/>
      <c r="C60" s="40" t="n"/>
      <c r="D60" s="40" t="n"/>
      <c r="E60" s="59" t="n"/>
      <c r="F60" s="59" t="n"/>
      <c r="G60" s="59" t="n"/>
      <c r="H60" s="43" t="n"/>
      <c r="I60" s="44" t="str">
        <f>IF(E60="","",Project!$C$20)</f>
        <v/>
      </c>
      <c r="J60" s="35" t="str">
        <f>IF(OR(E60="",H60=""),"",H60*(1+IF(I60="",0,I60)))</f>
        <v/>
      </c>
      <c r="K60" s="58" t="n"/>
      <c r="L60" s="40" t="n"/>
      <c r="M60" s="40" t="n"/>
      <c r="N60" s="40" t="n"/>
      <c r="O60" s="42" t="n"/>
      <c r="P60" s="59" t="n"/>
    </row>
    <row r="61" ht="18" customHeight="1">
      <c r="A61" s="77" t="str">
        <f>IF(E61="","","CO-"&amp;TEXT(ROW()-7,"00"))</f>
        <v/>
      </c>
      <c r="B61" s="42" t="n"/>
      <c r="C61" s="40" t="n"/>
      <c r="D61" s="40" t="n"/>
      <c r="E61" s="59" t="n"/>
      <c r="F61" s="59" t="n"/>
      <c r="G61" s="59" t="n"/>
      <c r="H61" s="43" t="n"/>
      <c r="I61" s="44" t="str">
        <f>IF(E61="","",Project!$C$20)</f>
        <v/>
      </c>
      <c r="J61" s="35" t="str">
        <f>IF(OR(E61="",H61=""),"",H61*(1+IF(I61="",0,I61)))</f>
        <v/>
      </c>
      <c r="K61" s="58" t="n"/>
      <c r="L61" s="40" t="n"/>
      <c r="M61" s="40" t="n"/>
      <c r="N61" s="40" t="n"/>
      <c r="O61" s="42" t="n"/>
      <c r="P61" s="59" t="n"/>
    </row>
    <row r="62" ht="18" customHeight="1">
      <c r="A62" s="77" t="str">
        <f>IF(E62="","","CO-"&amp;TEXT(ROW()-7,"00"))</f>
        <v/>
      </c>
      <c r="B62" s="42" t="n"/>
      <c r="C62" s="40" t="n"/>
      <c r="D62" s="40" t="n"/>
      <c r="E62" s="59" t="n"/>
      <c r="F62" s="59" t="n"/>
      <c r="G62" s="59" t="n"/>
      <c r="H62" s="43" t="n"/>
      <c r="I62" s="44" t="str">
        <f>IF(E62="","",Project!$C$20)</f>
        <v/>
      </c>
      <c r="J62" s="35" t="str">
        <f>IF(OR(E62="",H62=""),"",H62*(1+IF(I62="",0,I62)))</f>
        <v/>
      </c>
      <c r="K62" s="58" t="n"/>
      <c r="L62" s="40" t="n"/>
      <c r="M62" s="40" t="n"/>
      <c r="N62" s="40" t="n"/>
      <c r="O62" s="42" t="n"/>
      <c r="P62" s="59" t="n"/>
    </row>
    <row r="63" ht="18" customHeight="1">
      <c r="A63" s="77" t="str">
        <f>IF(E63="","","CO-"&amp;TEXT(ROW()-7,"00"))</f>
        <v/>
      </c>
      <c r="B63" s="42" t="n"/>
      <c r="C63" s="40" t="n"/>
      <c r="D63" s="40" t="n"/>
      <c r="E63" s="59" t="n"/>
      <c r="F63" s="59" t="n"/>
      <c r="G63" s="59" t="n"/>
      <c r="H63" s="43" t="n"/>
      <c r="I63" s="44" t="str">
        <f>IF(E63="","",Project!$C$20)</f>
        <v/>
      </c>
      <c r="J63" s="35" t="str">
        <f>IF(OR(E63="",H63=""),"",H63*(1+IF(I63="",0,I63)))</f>
        <v/>
      </c>
      <c r="K63" s="58" t="n"/>
      <c r="L63" s="40" t="n"/>
      <c r="M63" s="40" t="n"/>
      <c r="N63" s="40" t="n"/>
      <c r="O63" s="42" t="n"/>
      <c r="P63" s="59" t="n"/>
    </row>
    <row r="64" ht="18" customHeight="1">
      <c r="A64" s="77" t="str">
        <f>IF(E64="","","CO-"&amp;TEXT(ROW()-7,"00"))</f>
        <v/>
      </c>
      <c r="B64" s="42" t="n"/>
      <c r="C64" s="40" t="n"/>
      <c r="D64" s="40" t="n"/>
      <c r="E64" s="59" t="n"/>
      <c r="F64" s="59" t="n"/>
      <c r="G64" s="59" t="n"/>
      <c r="H64" s="43" t="n"/>
      <c r="I64" s="44" t="str">
        <f>IF(E64="","",Project!$C$20)</f>
        <v/>
      </c>
      <c r="J64" s="35" t="str">
        <f>IF(OR(E64="",H64=""),"",H64*(1+IF(I64="",0,I64)))</f>
        <v/>
      </c>
      <c r="K64" s="58" t="n"/>
      <c r="L64" s="40" t="n"/>
      <c r="M64" s="40" t="n"/>
      <c r="N64" s="40" t="n"/>
      <c r="O64" s="42" t="n"/>
      <c r="P64" s="59" t="n"/>
    </row>
    <row r="65" ht="18" customHeight="1">
      <c r="A65" s="77" t="str">
        <f>IF(E65="","","CO-"&amp;TEXT(ROW()-7,"00"))</f>
        <v/>
      </c>
      <c r="B65" s="42" t="n"/>
      <c r="C65" s="40" t="n"/>
      <c r="D65" s="40" t="n"/>
      <c r="E65" s="59" t="n"/>
      <c r="F65" s="59" t="n"/>
      <c r="G65" s="59" t="n"/>
      <c r="H65" s="43" t="n"/>
      <c r="I65" s="44" t="str">
        <f>IF(E65="","",Project!$C$20)</f>
        <v/>
      </c>
      <c r="J65" s="35" t="str">
        <f>IF(OR(E65="",H65=""),"",H65*(1+IF(I65="",0,I65)))</f>
        <v/>
      </c>
      <c r="K65" s="58" t="n"/>
      <c r="L65" s="40" t="n"/>
      <c r="M65" s="40" t="n"/>
      <c r="N65" s="40" t="n"/>
      <c r="O65" s="42" t="n"/>
      <c r="P65" s="59" t="n"/>
    </row>
    <row r="66" ht="18" customHeight="1">
      <c r="A66" s="77" t="str">
        <f>IF(E66="","","CO-"&amp;TEXT(ROW()-7,"00"))</f>
        <v/>
      </c>
      <c r="B66" s="42" t="n"/>
      <c r="C66" s="40" t="n"/>
      <c r="D66" s="40" t="n"/>
      <c r="E66" s="59" t="n"/>
      <c r="F66" s="59" t="n"/>
      <c r="G66" s="59" t="n"/>
      <c r="H66" s="43" t="n"/>
      <c r="I66" s="44" t="str">
        <f>IF(E66="","",Project!$C$20)</f>
        <v/>
      </c>
      <c r="J66" s="35" t="str">
        <f>IF(OR(E66="",H66=""),"",H66*(1+IF(I66="",0,I66)))</f>
        <v/>
      </c>
      <c r="K66" s="58" t="n"/>
      <c r="L66" s="40" t="n"/>
      <c r="M66" s="40" t="n"/>
      <c r="N66" s="40" t="n"/>
      <c r="O66" s="42" t="n"/>
      <c r="P66" s="59" t="n"/>
    </row>
    <row r="67" ht="18" customHeight="1">
      <c r="A67" s="77" t="str">
        <f>IF(E67="","","CO-"&amp;TEXT(ROW()-7,"00"))</f>
        <v/>
      </c>
      <c r="B67" s="42" t="n"/>
      <c r="C67" s="40" t="n"/>
      <c r="D67" s="40" t="n"/>
      <c r="E67" s="59" t="n"/>
      <c r="F67" s="59" t="n"/>
      <c r="G67" s="59" t="n"/>
      <c r="H67" s="43" t="n"/>
      <c r="I67" s="44" t="str">
        <f>IF(E67="","",Project!$C$20)</f>
        <v/>
      </c>
      <c r="J67" s="35" t="str">
        <f>IF(OR(E67="",H67=""),"",H67*(1+IF(I67="",0,I67)))</f>
        <v/>
      </c>
      <c r="K67" s="58" t="n"/>
      <c r="L67" s="40" t="n"/>
      <c r="M67" s="40" t="n"/>
      <c r="N67" s="40" t="n"/>
      <c r="O67" s="42" t="n"/>
      <c r="P67" s="59" t="n"/>
    </row>
    <row r="68" ht="18" customHeight="1">
      <c r="A68" s="77" t="str">
        <f>IF(E68="","","CO-"&amp;TEXT(ROW()-7,"00"))</f>
        <v/>
      </c>
      <c r="B68" s="42" t="n"/>
      <c r="C68" s="40" t="n"/>
      <c r="D68" s="40" t="n"/>
      <c r="E68" s="59" t="n"/>
      <c r="F68" s="59" t="n"/>
      <c r="G68" s="59" t="n"/>
      <c r="H68" s="43" t="n"/>
      <c r="I68" s="44" t="str">
        <f>IF(E68="","",Project!$C$20)</f>
        <v/>
      </c>
      <c r="J68" s="35" t="str">
        <f>IF(OR(E68="",H68=""),"",H68*(1+IF(I68="",0,I68)))</f>
        <v/>
      </c>
      <c r="K68" s="58" t="n"/>
      <c r="L68" s="40" t="n"/>
      <c r="M68" s="40" t="n"/>
      <c r="N68" s="40" t="n"/>
      <c r="O68" s="42" t="n"/>
      <c r="P68" s="59" t="n"/>
    </row>
    <row r="69" ht="18" customHeight="1">
      <c r="A69" s="77" t="str">
        <f>IF(E69="","","CO-"&amp;TEXT(ROW()-7,"00"))</f>
        <v/>
      </c>
      <c r="B69" s="42" t="n"/>
      <c r="C69" s="40" t="n"/>
      <c r="D69" s="40" t="n"/>
      <c r="E69" s="59" t="n"/>
      <c r="F69" s="59" t="n"/>
      <c r="G69" s="59" t="n"/>
      <c r="H69" s="43" t="n"/>
      <c r="I69" s="44" t="str">
        <f>IF(E69="","",Project!$C$20)</f>
        <v/>
      </c>
      <c r="J69" s="35" t="str">
        <f>IF(OR(E69="",H69=""),"",H69*(1+IF(I69="",0,I69)))</f>
        <v/>
      </c>
      <c r="K69" s="58" t="n"/>
      <c r="L69" s="40" t="n"/>
      <c r="M69" s="40" t="n"/>
      <c r="N69" s="40" t="n"/>
      <c r="O69" s="42" t="n"/>
      <c r="P69" s="59" t="n"/>
    </row>
    <row r="70" ht="18" customHeight="1">
      <c r="A70" s="77" t="str">
        <f>IF(E70="","","CO-"&amp;TEXT(ROW()-7,"00"))</f>
        <v/>
      </c>
      <c r="B70" s="42" t="n"/>
      <c r="C70" s="40" t="n"/>
      <c r="D70" s="40" t="n"/>
      <c r="E70" s="59" t="n"/>
      <c r="F70" s="59" t="n"/>
      <c r="G70" s="59" t="n"/>
      <c r="H70" s="43" t="n"/>
      <c r="I70" s="44" t="str">
        <f>IF(E70="","",Project!$C$20)</f>
        <v/>
      </c>
      <c r="J70" s="35" t="str">
        <f>IF(OR(E70="",H70=""),"",H70*(1+IF(I70="",0,I70)))</f>
        <v/>
      </c>
      <c r="K70" s="58" t="n"/>
      <c r="L70" s="40" t="n"/>
      <c r="M70" s="40" t="n"/>
      <c r="N70" s="40" t="n"/>
      <c r="O70" s="42" t="n"/>
      <c r="P70" s="59" t="n"/>
    </row>
    <row r="71" ht="18" customHeight="1">
      <c r="A71" s="77" t="str">
        <f>IF(E71="","","CO-"&amp;TEXT(ROW()-7,"00"))</f>
        <v/>
      </c>
      <c r="B71" s="42" t="n"/>
      <c r="C71" s="40" t="n"/>
      <c r="D71" s="40" t="n"/>
      <c r="E71" s="59" t="n"/>
      <c r="F71" s="59" t="n"/>
      <c r="G71" s="59" t="n"/>
      <c r="H71" s="43" t="n"/>
      <c r="I71" s="44" t="str">
        <f>IF(E71="","",Project!$C$20)</f>
        <v/>
      </c>
      <c r="J71" s="35" t="str">
        <f>IF(OR(E71="",H71=""),"",H71*(1+IF(I71="",0,I71)))</f>
        <v/>
      </c>
      <c r="K71" s="58" t="n"/>
      <c r="L71" s="40" t="n"/>
      <c r="M71" s="40" t="n"/>
      <c r="N71" s="40" t="n"/>
      <c r="O71" s="42" t="n"/>
      <c r="P71" s="59" t="n"/>
    </row>
    <row r="72" ht="18" customHeight="1">
      <c r="A72" s="77" t="str">
        <f>IF(E72="","","CO-"&amp;TEXT(ROW()-7,"00"))</f>
        <v/>
      </c>
      <c r="B72" s="42" t="n"/>
      <c r="C72" s="40" t="n"/>
      <c r="D72" s="40" t="n"/>
      <c r="E72" s="59" t="n"/>
      <c r="F72" s="59" t="n"/>
      <c r="G72" s="59" t="n"/>
      <c r="H72" s="43" t="n"/>
      <c r="I72" s="44" t="str">
        <f>IF(E72="","",Project!$C$20)</f>
        <v/>
      </c>
      <c r="J72" s="35" t="str">
        <f>IF(OR(E72="",H72=""),"",H72*(1+IF(I72="",0,I72)))</f>
        <v/>
      </c>
      <c r="K72" s="58" t="n"/>
      <c r="L72" s="40" t="n"/>
      <c r="M72" s="40" t="n"/>
      <c r="N72" s="40" t="n"/>
      <c r="O72" s="42" t="n"/>
      <c r="P72" s="59" t="n"/>
    </row>
    <row r="73" ht="18" customHeight="1">
      <c r="A73" s="77" t="str">
        <f>IF(E73="","","CO-"&amp;TEXT(ROW()-7,"00"))</f>
        <v/>
      </c>
      <c r="B73" s="42" t="n"/>
      <c r="C73" s="40" t="n"/>
      <c r="D73" s="40" t="n"/>
      <c r="E73" s="59" t="n"/>
      <c r="F73" s="59" t="n"/>
      <c r="G73" s="59" t="n"/>
      <c r="H73" s="43" t="n"/>
      <c r="I73" s="44" t="str">
        <f>IF(E73="","",Project!$C$20)</f>
        <v/>
      </c>
      <c r="J73" s="35" t="str">
        <f>IF(OR(E73="",H73=""),"",H73*(1+IF(I73="",0,I73)))</f>
        <v/>
      </c>
      <c r="K73" s="58" t="n"/>
      <c r="L73" s="40" t="n"/>
      <c r="M73" s="40" t="n"/>
      <c r="N73" s="40" t="n"/>
      <c r="O73" s="42" t="n"/>
      <c r="P73" s="59" t="n"/>
    </row>
    <row r="74" ht="18" customHeight="1">
      <c r="A74" s="77" t="str">
        <f>IF(E74="","","CO-"&amp;TEXT(ROW()-7,"00"))</f>
        <v/>
      </c>
      <c r="B74" s="42" t="n"/>
      <c r="C74" s="40" t="n"/>
      <c r="D74" s="40" t="n"/>
      <c r="E74" s="59" t="n"/>
      <c r="F74" s="59" t="n"/>
      <c r="G74" s="59" t="n"/>
      <c r="H74" s="43" t="n"/>
      <c r="I74" s="44" t="str">
        <f>IF(E74="","",Project!$C$20)</f>
        <v/>
      </c>
      <c r="J74" s="35" t="str">
        <f>IF(OR(E74="",H74=""),"",H74*(1+IF(I74="",0,I74)))</f>
        <v/>
      </c>
      <c r="K74" s="58" t="n"/>
      <c r="L74" s="40" t="n"/>
      <c r="M74" s="40" t="n"/>
      <c r="N74" s="40" t="n"/>
      <c r="O74" s="42" t="n"/>
      <c r="P74" s="59" t="n"/>
    </row>
    <row r="75" ht="18" customHeight="1">
      <c r="A75" s="77" t="str">
        <f>IF(E75="","","CO-"&amp;TEXT(ROW()-7,"00"))</f>
        <v/>
      </c>
      <c r="B75" s="42" t="n"/>
      <c r="C75" s="40" t="n"/>
      <c r="D75" s="40" t="n"/>
      <c r="E75" s="59" t="n"/>
      <c r="F75" s="59" t="n"/>
      <c r="G75" s="59" t="n"/>
      <c r="H75" s="43" t="n"/>
      <c r="I75" s="44" t="str">
        <f>IF(E75="","",Project!$C$20)</f>
        <v/>
      </c>
      <c r="J75" s="35" t="str">
        <f>IF(OR(E75="",H75=""),"",H75*(1+IF(I75="",0,I75)))</f>
        <v/>
      </c>
      <c r="K75" s="58" t="n"/>
      <c r="L75" s="40" t="n"/>
      <c r="M75" s="40" t="n"/>
      <c r="N75" s="40" t="n"/>
      <c r="O75" s="42" t="n"/>
      <c r="P75" s="59" t="n"/>
    </row>
    <row r="76" ht="18" customHeight="1">
      <c r="A76" s="77" t="str">
        <f>IF(E76="","","CO-"&amp;TEXT(ROW()-7,"00"))</f>
        <v/>
      </c>
      <c r="B76" s="42" t="n"/>
      <c r="C76" s="40" t="n"/>
      <c r="D76" s="40" t="n"/>
      <c r="E76" s="59" t="n"/>
      <c r="F76" s="59" t="n"/>
      <c r="G76" s="59" t="n"/>
      <c r="H76" s="43" t="n"/>
      <c r="I76" s="44" t="str">
        <f>IF(E76="","",Project!$C$20)</f>
        <v/>
      </c>
      <c r="J76" s="35" t="str">
        <f>IF(OR(E76="",H76=""),"",H76*(1+IF(I76="",0,I76)))</f>
        <v/>
      </c>
      <c r="K76" s="58" t="n"/>
      <c r="L76" s="40" t="n"/>
      <c r="M76" s="40" t="n"/>
      <c r="N76" s="40" t="n"/>
      <c r="O76" s="42" t="n"/>
      <c r="P76" s="59" t="n"/>
    </row>
    <row r="77" ht="18" customHeight="1">
      <c r="A77" s="77" t="str">
        <f>IF(E77="","","CO-"&amp;TEXT(ROW()-7,"00"))</f>
        <v/>
      </c>
      <c r="B77" s="42" t="n"/>
      <c r="C77" s="40" t="n"/>
      <c r="D77" s="40" t="n"/>
      <c r="E77" s="59" t="n"/>
      <c r="F77" s="59" t="n"/>
      <c r="G77" s="59" t="n"/>
      <c r="H77" s="43" t="n"/>
      <c r="I77" s="44" t="str">
        <f>IF(E77="","",Project!$C$20)</f>
        <v/>
      </c>
      <c r="J77" s="35" t="str">
        <f>IF(OR(E77="",H77=""),"",H77*(1+IF(I77="",0,I77)))</f>
        <v/>
      </c>
      <c r="K77" s="58" t="n"/>
      <c r="L77" s="40" t="n"/>
      <c r="M77" s="40" t="n"/>
      <c r="N77" s="40" t="n"/>
      <c r="O77" s="42" t="n"/>
      <c r="P77" s="59" t="n"/>
    </row>
    <row r="78" ht="18" customHeight="1">
      <c r="A78" s="77" t="str">
        <f>IF(E78="","","CO-"&amp;TEXT(ROW()-7,"00"))</f>
        <v/>
      </c>
      <c r="B78" s="42" t="n"/>
      <c r="C78" s="40" t="n"/>
      <c r="D78" s="40" t="n"/>
      <c r="E78" s="59" t="n"/>
      <c r="F78" s="59" t="n"/>
      <c r="G78" s="59" t="n"/>
      <c r="H78" s="43" t="n"/>
      <c r="I78" s="44" t="str">
        <f>IF(E78="","",Project!$C$20)</f>
        <v/>
      </c>
      <c r="J78" s="35" t="str">
        <f>IF(OR(E78="",H78=""),"",H78*(1+IF(I78="",0,I78)))</f>
        <v/>
      </c>
      <c r="K78" s="58" t="n"/>
      <c r="L78" s="40" t="n"/>
      <c r="M78" s="40" t="n"/>
      <c r="N78" s="40" t="n"/>
      <c r="O78" s="42" t="n"/>
      <c r="P78" s="59" t="n"/>
    </row>
    <row r="79" ht="18" customHeight="1">
      <c r="A79" s="77" t="str">
        <f>IF(E79="","","CO-"&amp;TEXT(ROW()-7,"00"))</f>
        <v/>
      </c>
      <c r="B79" s="42" t="n"/>
      <c r="C79" s="40" t="n"/>
      <c r="D79" s="40" t="n"/>
      <c r="E79" s="59" t="n"/>
      <c r="F79" s="59" t="n"/>
      <c r="G79" s="59" t="n"/>
      <c r="H79" s="43" t="n"/>
      <c r="I79" s="44" t="str">
        <f>IF(E79="","",Project!$C$20)</f>
        <v/>
      </c>
      <c r="J79" s="35" t="str">
        <f>IF(OR(E79="",H79=""),"",H79*(1+IF(I79="",0,I79)))</f>
        <v/>
      </c>
      <c r="K79" s="58" t="n"/>
      <c r="L79" s="40" t="n"/>
      <c r="M79" s="40" t="n"/>
      <c r="N79" s="40" t="n"/>
      <c r="O79" s="42" t="n"/>
      <c r="P79" s="59" t="n"/>
    </row>
    <row r="80" ht="18" customHeight="1">
      <c r="A80" s="77" t="str">
        <f>IF(E80="","","CO-"&amp;TEXT(ROW()-7,"00"))</f>
        <v/>
      </c>
      <c r="B80" s="42" t="n"/>
      <c r="C80" s="40" t="n"/>
      <c r="D80" s="40" t="n"/>
      <c r="E80" s="59" t="n"/>
      <c r="F80" s="59" t="n"/>
      <c r="G80" s="59" t="n"/>
      <c r="H80" s="43" t="n"/>
      <c r="I80" s="44" t="str">
        <f>IF(E80="","",Project!$C$20)</f>
        <v/>
      </c>
      <c r="J80" s="35" t="str">
        <f>IF(OR(E80="",H80=""),"",H80*(1+IF(I80="",0,I80)))</f>
        <v/>
      </c>
      <c r="K80" s="58" t="n"/>
      <c r="L80" s="40" t="n"/>
      <c r="M80" s="40" t="n"/>
      <c r="N80" s="40" t="n"/>
      <c r="O80" s="42" t="n"/>
      <c r="P80" s="59" t="n"/>
    </row>
    <row r="81" ht="18" customHeight="1">
      <c r="A81" s="77" t="str">
        <f>IF(E81="","","CO-"&amp;TEXT(ROW()-7,"00"))</f>
        <v/>
      </c>
      <c r="B81" s="42" t="n"/>
      <c r="C81" s="40" t="n"/>
      <c r="D81" s="40" t="n"/>
      <c r="E81" s="59" t="n"/>
      <c r="F81" s="59" t="n"/>
      <c r="G81" s="59" t="n"/>
      <c r="H81" s="43" t="n"/>
      <c r="I81" s="44" t="str">
        <f>IF(E81="","",Project!$C$20)</f>
        <v/>
      </c>
      <c r="J81" s="35" t="str">
        <f>IF(OR(E81="",H81=""),"",H81*(1+IF(I81="",0,I81)))</f>
        <v/>
      </c>
      <c r="K81" s="58" t="n"/>
      <c r="L81" s="40" t="n"/>
      <c r="M81" s="40" t="n"/>
      <c r="N81" s="40" t="n"/>
      <c r="O81" s="42" t="n"/>
      <c r="P81" s="59" t="n"/>
    </row>
    <row r="82" ht="18" customHeight="1">
      <c r="A82" s="77" t="str">
        <f>IF(E82="","","CO-"&amp;TEXT(ROW()-7,"00"))</f>
        <v/>
      </c>
      <c r="B82" s="42" t="n"/>
      <c r="C82" s="40" t="n"/>
      <c r="D82" s="40" t="n"/>
      <c r="E82" s="59" t="n"/>
      <c r="F82" s="59" t="n"/>
      <c r="G82" s="59" t="n"/>
      <c r="H82" s="43" t="n"/>
      <c r="I82" s="44" t="str">
        <f>IF(E82="","",Project!$C$20)</f>
        <v/>
      </c>
      <c r="J82" s="35" t="str">
        <f>IF(OR(E82="",H82=""),"",H82*(1+IF(I82="",0,I82)))</f>
        <v/>
      </c>
      <c r="K82" s="58" t="n"/>
      <c r="L82" s="40" t="n"/>
      <c r="M82" s="40" t="n"/>
      <c r="N82" s="40" t="n"/>
      <c r="O82" s="42" t="n"/>
      <c r="P82" s="59" t="n"/>
    </row>
    <row r="83" ht="18" customHeight="1">
      <c r="A83" s="77" t="str">
        <f>IF(E83="","","CO-"&amp;TEXT(ROW()-7,"00"))</f>
        <v/>
      </c>
      <c r="B83" s="42" t="n"/>
      <c r="C83" s="40" t="n"/>
      <c r="D83" s="40" t="n"/>
      <c r="E83" s="59" t="n"/>
      <c r="F83" s="59" t="n"/>
      <c r="G83" s="59" t="n"/>
      <c r="H83" s="43" t="n"/>
      <c r="I83" s="44" t="str">
        <f>IF(E83="","",Project!$C$20)</f>
        <v/>
      </c>
      <c r="J83" s="35" t="str">
        <f>IF(OR(E83="",H83=""),"",H83*(1+IF(I83="",0,I83)))</f>
        <v/>
      </c>
      <c r="K83" s="58" t="n"/>
      <c r="L83" s="40" t="n"/>
      <c r="M83" s="40" t="n"/>
      <c r="N83" s="40" t="n"/>
      <c r="O83" s="42" t="n"/>
      <c r="P83" s="59" t="n"/>
    </row>
    <row r="84" ht="18" customHeight="1">
      <c r="A84" s="77" t="str">
        <f>IF(E84="","","CO-"&amp;TEXT(ROW()-7,"00"))</f>
        <v/>
      </c>
      <c r="B84" s="42" t="n"/>
      <c r="C84" s="40" t="n"/>
      <c r="D84" s="40" t="n"/>
      <c r="E84" s="59" t="n"/>
      <c r="F84" s="59" t="n"/>
      <c r="G84" s="59" t="n"/>
      <c r="H84" s="43" t="n"/>
      <c r="I84" s="44" t="str">
        <f>IF(E84="","",Project!$C$20)</f>
        <v/>
      </c>
      <c r="J84" s="35" t="str">
        <f>IF(OR(E84="",H84=""),"",H84*(1+IF(I84="",0,I84)))</f>
        <v/>
      </c>
      <c r="K84" s="58" t="n"/>
      <c r="L84" s="40" t="n"/>
      <c r="M84" s="40" t="n"/>
      <c r="N84" s="40" t="n"/>
      <c r="O84" s="42" t="n"/>
      <c r="P84" s="59" t="n"/>
    </row>
    <row r="85" ht="18" customHeight="1">
      <c r="A85" s="77" t="str">
        <f>IF(E85="","","CO-"&amp;TEXT(ROW()-7,"00"))</f>
        <v/>
      </c>
      <c r="B85" s="42" t="n"/>
      <c r="C85" s="40" t="n"/>
      <c r="D85" s="40" t="n"/>
      <c r="E85" s="59" t="n"/>
      <c r="F85" s="59" t="n"/>
      <c r="G85" s="59" t="n"/>
      <c r="H85" s="43" t="n"/>
      <c r="I85" s="44" t="str">
        <f>IF(E85="","",Project!$C$20)</f>
        <v/>
      </c>
      <c r="J85" s="35" t="str">
        <f>IF(OR(E85="",H85=""),"",H85*(1+IF(I85="",0,I85)))</f>
        <v/>
      </c>
      <c r="K85" s="58" t="n"/>
      <c r="L85" s="40" t="n"/>
      <c r="M85" s="40" t="n"/>
      <c r="N85" s="40" t="n"/>
      <c r="O85" s="42" t="n"/>
      <c r="P85" s="59" t="n"/>
    </row>
    <row r="86" ht="18" customHeight="1">
      <c r="A86" s="77" t="str">
        <f>IF(E86="","","CO-"&amp;TEXT(ROW()-7,"00"))</f>
        <v/>
      </c>
      <c r="B86" s="42" t="n"/>
      <c r="C86" s="40" t="n"/>
      <c r="D86" s="40" t="n"/>
      <c r="E86" s="59" t="n"/>
      <c r="F86" s="59" t="n"/>
      <c r="G86" s="59" t="n"/>
      <c r="H86" s="43" t="n"/>
      <c r="I86" s="44" t="str">
        <f>IF(E86="","",Project!$C$20)</f>
        <v/>
      </c>
      <c r="J86" s="35" t="str">
        <f>IF(OR(E86="",H86=""),"",H86*(1+IF(I86="",0,I86)))</f>
        <v/>
      </c>
      <c r="K86" s="58" t="n"/>
      <c r="L86" s="40" t="n"/>
      <c r="M86" s="40" t="n"/>
      <c r="N86" s="40" t="n"/>
      <c r="O86" s="42" t="n"/>
      <c r="P86" s="59" t="n"/>
    </row>
    <row r="87" ht="18" customHeight="1">
      <c r="A87" s="77" t="str">
        <f>IF(E87="","","CO-"&amp;TEXT(ROW()-7,"00"))</f>
        <v/>
      </c>
      <c r="B87" s="42" t="n"/>
      <c r="C87" s="40" t="n"/>
      <c r="D87" s="40" t="n"/>
      <c r="E87" s="59" t="n"/>
      <c r="F87" s="59" t="n"/>
      <c r="G87" s="59" t="n"/>
      <c r="H87" s="43" t="n"/>
      <c r="I87" s="44" t="str">
        <f>IF(E87="","",Project!$C$20)</f>
        <v/>
      </c>
      <c r="J87" s="35" t="str">
        <f>IF(OR(E87="",H87=""),"",H87*(1+IF(I87="",0,I87)))</f>
        <v/>
      </c>
      <c r="K87" s="58" t="n"/>
      <c r="L87" s="40" t="n"/>
      <c r="M87" s="40" t="n"/>
      <c r="N87" s="40" t="n"/>
      <c r="O87" s="42" t="n"/>
      <c r="P87" s="59" t="n"/>
    </row>
    <row r="88" ht="18" customHeight="1">
      <c r="A88" s="77" t="str">
        <f>IF(E88="","","CO-"&amp;TEXT(ROW()-7,"00"))</f>
        <v/>
      </c>
      <c r="B88" s="42" t="n"/>
      <c r="C88" s="40" t="n"/>
      <c r="D88" s="40" t="n"/>
      <c r="E88" s="59" t="n"/>
      <c r="F88" s="59" t="n"/>
      <c r="G88" s="59" t="n"/>
      <c r="H88" s="43" t="n"/>
      <c r="I88" s="44" t="str">
        <f>IF(E88="","",Project!$C$20)</f>
        <v/>
      </c>
      <c r="J88" s="35" t="str">
        <f>IF(OR(E88="",H88=""),"",H88*(1+IF(I88="",0,I88)))</f>
        <v/>
      </c>
      <c r="K88" s="58" t="n"/>
      <c r="L88" s="40" t="n"/>
      <c r="M88" s="40" t="n"/>
      <c r="N88" s="40" t="n"/>
      <c r="O88" s="42" t="n"/>
      <c r="P88" s="59" t="n"/>
    </row>
    <row r="89" ht="18" customHeight="1">
      <c r="A89" s="77" t="str">
        <f>IF(E89="","","CO-"&amp;TEXT(ROW()-7,"00"))</f>
        <v/>
      </c>
      <c r="B89" s="42" t="n"/>
      <c r="C89" s="40" t="n"/>
      <c r="D89" s="40" t="n"/>
      <c r="E89" s="59" t="n"/>
      <c r="F89" s="59" t="n"/>
      <c r="G89" s="59" t="n"/>
      <c r="H89" s="43" t="n"/>
      <c r="I89" s="44" t="str">
        <f>IF(E89="","",Project!$C$20)</f>
        <v/>
      </c>
      <c r="J89" s="35" t="str">
        <f>IF(OR(E89="",H89=""),"",H89*(1+IF(I89="",0,I89)))</f>
        <v/>
      </c>
      <c r="K89" s="58" t="n"/>
      <c r="L89" s="40" t="n"/>
      <c r="M89" s="40" t="n"/>
      <c r="N89" s="40" t="n"/>
      <c r="O89" s="42" t="n"/>
      <c r="P89" s="59" t="n"/>
    </row>
    <row r="90" ht="18" customHeight="1">
      <c r="A90" s="77" t="str">
        <f>IF(E90="","","CO-"&amp;TEXT(ROW()-7,"00"))</f>
        <v/>
      </c>
      <c r="B90" s="42" t="n"/>
      <c r="C90" s="40" t="n"/>
      <c r="D90" s="40" t="n"/>
      <c r="E90" s="59" t="n"/>
      <c r="F90" s="59" t="n"/>
      <c r="G90" s="59" t="n"/>
      <c r="H90" s="43" t="n"/>
      <c r="I90" s="44" t="str">
        <f>IF(E90="","",Project!$C$20)</f>
        <v/>
      </c>
      <c r="J90" s="35" t="str">
        <f>IF(OR(E90="",H90=""),"",H90*(1+IF(I90="",0,I90)))</f>
        <v/>
      </c>
      <c r="K90" s="58" t="n"/>
      <c r="L90" s="40" t="n"/>
      <c r="M90" s="40" t="n"/>
      <c r="N90" s="40" t="n"/>
      <c r="O90" s="42" t="n"/>
      <c r="P90" s="59" t="n"/>
    </row>
    <row r="91" ht="18" customHeight="1">
      <c r="A91" s="77" t="str">
        <f>IF(E91="","","CO-"&amp;TEXT(ROW()-7,"00"))</f>
        <v/>
      </c>
      <c r="B91" s="42" t="n"/>
      <c r="C91" s="40" t="n"/>
      <c r="D91" s="40" t="n"/>
      <c r="E91" s="59" t="n"/>
      <c r="F91" s="59" t="n"/>
      <c r="G91" s="59" t="n"/>
      <c r="H91" s="43" t="n"/>
      <c r="I91" s="44" t="str">
        <f>IF(E91="","",Project!$C$20)</f>
        <v/>
      </c>
      <c r="J91" s="35" t="str">
        <f>IF(OR(E91="",H91=""),"",H91*(1+IF(I91="",0,I91)))</f>
        <v/>
      </c>
      <c r="K91" s="58" t="n"/>
      <c r="L91" s="40" t="n"/>
      <c r="M91" s="40" t="n"/>
      <c r="N91" s="40" t="n"/>
      <c r="O91" s="42" t="n"/>
      <c r="P91" s="59" t="n"/>
    </row>
    <row r="92" ht="18" customHeight="1">
      <c r="A92" s="77" t="str">
        <f>IF(E92="","","CO-"&amp;TEXT(ROW()-7,"00"))</f>
        <v/>
      </c>
      <c r="B92" s="42" t="n"/>
      <c r="C92" s="40" t="n"/>
      <c r="D92" s="40" t="n"/>
      <c r="E92" s="59" t="n"/>
      <c r="F92" s="59" t="n"/>
      <c r="G92" s="59" t="n"/>
      <c r="H92" s="43" t="n"/>
      <c r="I92" s="44" t="str">
        <f>IF(E92="","",Project!$C$20)</f>
        <v/>
      </c>
      <c r="J92" s="35" t="str">
        <f>IF(OR(E92="",H92=""),"",H92*(1+IF(I92="",0,I92)))</f>
        <v/>
      </c>
      <c r="K92" s="58" t="n"/>
      <c r="L92" s="40" t="n"/>
      <c r="M92" s="40" t="n"/>
      <c r="N92" s="40" t="n"/>
      <c r="O92" s="42" t="n"/>
      <c r="P92" s="59" t="n"/>
    </row>
    <row r="93" ht="18" customHeight="1">
      <c r="A93" s="77" t="str">
        <f>IF(E93="","","CO-"&amp;TEXT(ROW()-7,"00"))</f>
        <v/>
      </c>
      <c r="B93" s="42" t="n"/>
      <c r="C93" s="40" t="n"/>
      <c r="D93" s="40" t="n"/>
      <c r="E93" s="59" t="n"/>
      <c r="F93" s="59" t="n"/>
      <c r="G93" s="59" t="n"/>
      <c r="H93" s="43" t="n"/>
      <c r="I93" s="44" t="str">
        <f>IF(E93="","",Project!$C$20)</f>
        <v/>
      </c>
      <c r="J93" s="35" t="str">
        <f>IF(OR(E93="",H93=""),"",H93*(1+IF(I93="",0,I93)))</f>
        <v/>
      </c>
      <c r="K93" s="58" t="n"/>
      <c r="L93" s="40" t="n"/>
      <c r="M93" s="40" t="n"/>
      <c r="N93" s="40" t="n"/>
      <c r="O93" s="42" t="n"/>
      <c r="P93" s="59" t="n"/>
    </row>
    <row r="94" ht="18" customHeight="1">
      <c r="A94" s="77" t="str">
        <f>IF(E94="","","CO-"&amp;TEXT(ROW()-7,"00"))</f>
        <v/>
      </c>
      <c r="B94" s="42" t="n"/>
      <c r="C94" s="40" t="n"/>
      <c r="D94" s="40" t="n"/>
      <c r="E94" s="59" t="n"/>
      <c r="F94" s="59" t="n"/>
      <c r="G94" s="59" t="n"/>
      <c r="H94" s="43" t="n"/>
      <c r="I94" s="44" t="str">
        <f>IF(E94="","",Project!$C$20)</f>
        <v/>
      </c>
      <c r="J94" s="35" t="str">
        <f>IF(OR(E94="",H94=""),"",H94*(1+IF(I94="",0,I94)))</f>
        <v/>
      </c>
      <c r="K94" s="58" t="n"/>
      <c r="L94" s="40" t="n"/>
      <c r="M94" s="40" t="n"/>
      <c r="N94" s="40" t="n"/>
      <c r="O94" s="42" t="n"/>
      <c r="P94" s="59" t="n"/>
    </row>
    <row r="95" ht="18" customHeight="1">
      <c r="A95" s="77" t="str">
        <f>IF(E95="","","CO-"&amp;TEXT(ROW()-7,"00"))</f>
        <v/>
      </c>
      <c r="B95" s="42" t="n"/>
      <c r="C95" s="40" t="n"/>
      <c r="D95" s="40" t="n"/>
      <c r="E95" s="59" t="n"/>
      <c r="F95" s="59" t="n"/>
      <c r="G95" s="59" t="n"/>
      <c r="H95" s="43" t="n"/>
      <c r="I95" s="44" t="str">
        <f>IF(E95="","",Project!$C$20)</f>
        <v/>
      </c>
      <c r="J95" s="35" t="str">
        <f>IF(OR(E95="",H95=""),"",H95*(1+IF(I95="",0,I95)))</f>
        <v/>
      </c>
      <c r="K95" s="58" t="n"/>
      <c r="L95" s="40" t="n"/>
      <c r="M95" s="40" t="n"/>
      <c r="N95" s="40" t="n"/>
      <c r="O95" s="42" t="n"/>
      <c r="P95" s="59" t="n"/>
    </row>
    <row r="96" ht="18" customHeight="1">
      <c r="A96" s="77" t="str">
        <f>IF(E96="","","CO-"&amp;TEXT(ROW()-7,"00"))</f>
        <v/>
      </c>
      <c r="B96" s="42" t="n"/>
      <c r="C96" s="40" t="n"/>
      <c r="D96" s="40" t="n"/>
      <c r="E96" s="59" t="n"/>
      <c r="F96" s="59" t="n"/>
      <c r="G96" s="59" t="n"/>
      <c r="H96" s="43" t="n"/>
      <c r="I96" s="44" t="str">
        <f>IF(E96="","",Project!$C$20)</f>
        <v/>
      </c>
      <c r="J96" s="35" t="str">
        <f>IF(OR(E96="",H96=""),"",H96*(1+IF(I96="",0,I96)))</f>
        <v/>
      </c>
      <c r="K96" s="58" t="n"/>
      <c r="L96" s="40" t="n"/>
      <c r="M96" s="40" t="n"/>
      <c r="N96" s="40" t="n"/>
      <c r="O96" s="42" t="n"/>
      <c r="P96" s="59" t="n"/>
    </row>
    <row r="97" ht="18" customHeight="1">
      <c r="A97" s="77" t="str">
        <f>IF(E97="","","CO-"&amp;TEXT(ROW()-7,"00"))</f>
        <v/>
      </c>
      <c r="B97" s="42" t="n"/>
      <c r="C97" s="40" t="n"/>
      <c r="D97" s="40" t="n"/>
      <c r="E97" s="59" t="n"/>
      <c r="F97" s="59" t="n"/>
      <c r="G97" s="59" t="n"/>
      <c r="H97" s="43" t="n"/>
      <c r="I97" s="44" t="str">
        <f>IF(E97="","",Project!$C$20)</f>
        <v/>
      </c>
      <c r="J97" s="35" t="str">
        <f>IF(OR(E97="",H97=""),"",H97*(1+IF(I97="",0,I97)))</f>
        <v/>
      </c>
      <c r="K97" s="58" t="n"/>
      <c r="L97" s="40" t="n"/>
      <c r="M97" s="40" t="n"/>
      <c r="N97" s="40" t="n"/>
      <c r="O97" s="42" t="n"/>
      <c r="P97" s="59" t="n"/>
    </row>
    <row r="98" ht="18" customHeight="1">
      <c r="A98" s="77" t="str">
        <f>IF(E98="","","CO-"&amp;TEXT(ROW()-7,"00"))</f>
        <v/>
      </c>
      <c r="B98" s="42" t="n"/>
      <c r="C98" s="40" t="n"/>
      <c r="D98" s="40" t="n"/>
      <c r="E98" s="59" t="n"/>
      <c r="F98" s="59" t="n"/>
      <c r="G98" s="59" t="n"/>
      <c r="H98" s="43" t="n"/>
      <c r="I98" s="44" t="str">
        <f>IF(E98="","",Project!$C$20)</f>
        <v/>
      </c>
      <c r="J98" s="35" t="str">
        <f>IF(OR(E98="",H98=""),"",H98*(1+IF(I98="",0,I98)))</f>
        <v/>
      </c>
      <c r="K98" s="58" t="n"/>
      <c r="L98" s="40" t="n"/>
      <c r="M98" s="40" t="n"/>
      <c r="N98" s="40" t="n"/>
      <c r="O98" s="42" t="n"/>
      <c r="P98" s="59" t="n"/>
    </row>
    <row r="99" ht="18" customHeight="1">
      <c r="A99" s="77" t="str">
        <f>IF(E99="","","CO-"&amp;TEXT(ROW()-7,"00"))</f>
        <v/>
      </c>
      <c r="B99" s="42" t="n"/>
      <c r="C99" s="40" t="n"/>
      <c r="D99" s="40" t="n"/>
      <c r="E99" s="59" t="n"/>
      <c r="F99" s="59" t="n"/>
      <c r="G99" s="59" t="n"/>
      <c r="H99" s="43" t="n"/>
      <c r="I99" s="44" t="str">
        <f>IF(E99="","",Project!$C$20)</f>
        <v/>
      </c>
      <c r="J99" s="35" t="str">
        <f>IF(OR(E99="",H99=""),"",H99*(1+IF(I99="",0,I99)))</f>
        <v/>
      </c>
      <c r="K99" s="58" t="n"/>
      <c r="L99" s="40" t="n"/>
      <c r="M99" s="40" t="n"/>
      <c r="N99" s="40" t="n"/>
      <c r="O99" s="42" t="n"/>
      <c r="P99" s="59" t="n"/>
    </row>
    <row r="100" ht="18" customHeight="1">
      <c r="A100" s="77" t="str">
        <f>IF(E100="","","CO-"&amp;TEXT(ROW()-7,"00"))</f>
        <v/>
      </c>
      <c r="B100" s="42" t="n"/>
      <c r="C100" s="40" t="n"/>
      <c r="D100" s="40" t="n"/>
      <c r="E100" s="59" t="n"/>
      <c r="F100" s="59" t="n"/>
      <c r="G100" s="59" t="n"/>
      <c r="H100" s="43" t="n"/>
      <c r="I100" s="44" t="str">
        <f>IF(E100="","",Project!$C$20)</f>
        <v/>
      </c>
      <c r="J100" s="35" t="str">
        <f>IF(OR(E100="",H100=""),"",H100*(1+IF(I100="",0,I100)))</f>
        <v/>
      </c>
      <c r="K100" s="58" t="n"/>
      <c r="L100" s="40" t="n"/>
      <c r="M100" s="40" t="n"/>
      <c r="N100" s="40" t="n"/>
      <c r="O100" s="42" t="n"/>
      <c r="P100" s="59" t="n"/>
    </row>
    <row r="101" ht="18" customHeight="1">
      <c r="A101" s="77" t="str">
        <f>IF(E101="","","CO-"&amp;TEXT(ROW()-7,"00"))</f>
        <v/>
      </c>
      <c r="B101" s="42" t="n"/>
      <c r="C101" s="40" t="n"/>
      <c r="D101" s="40" t="n"/>
      <c r="E101" s="59" t="n"/>
      <c r="F101" s="59" t="n"/>
      <c r="G101" s="59" t="n"/>
      <c r="H101" s="43" t="n"/>
      <c r="I101" s="44" t="str">
        <f>IF(E101="","",Project!$C$20)</f>
        <v/>
      </c>
      <c r="J101" s="35" t="str">
        <f>IF(OR(E101="",H101=""),"",H101*(1+IF(I101="",0,I101)))</f>
        <v/>
      </c>
      <c r="K101" s="58" t="n"/>
      <c r="L101" s="40" t="n"/>
      <c r="M101" s="40" t="n"/>
      <c r="N101" s="40" t="n"/>
      <c r="O101" s="42" t="n"/>
      <c r="P101" s="59" t="n"/>
    </row>
    <row r="102" ht="18" customHeight="1">
      <c r="A102" s="77" t="str">
        <f>IF(E102="","","CO-"&amp;TEXT(ROW()-7,"00"))</f>
        <v/>
      </c>
      <c r="B102" s="42" t="n"/>
      <c r="C102" s="40" t="n"/>
      <c r="D102" s="40" t="n"/>
      <c r="E102" s="59" t="n"/>
      <c r="F102" s="59" t="n"/>
      <c r="G102" s="59" t="n"/>
      <c r="H102" s="43" t="n"/>
      <c r="I102" s="44" t="str">
        <f>IF(E102="","",Project!$C$20)</f>
        <v/>
      </c>
      <c r="J102" s="35" t="str">
        <f>IF(OR(E102="",H102=""),"",H102*(1+IF(I102="",0,I102)))</f>
        <v/>
      </c>
      <c r="K102" s="58" t="n"/>
      <c r="L102" s="40" t="n"/>
      <c r="M102" s="40" t="n"/>
      <c r="N102" s="40" t="n"/>
      <c r="O102" s="42" t="n"/>
      <c r="P102" s="59" t="n"/>
    </row>
    <row r="103" ht="18" customHeight="1">
      <c r="A103" s="77" t="str">
        <f>IF(E103="","","CO-"&amp;TEXT(ROW()-7,"00"))</f>
        <v/>
      </c>
      <c r="B103" s="42" t="n"/>
      <c r="C103" s="40" t="n"/>
      <c r="D103" s="40" t="n"/>
      <c r="E103" s="59" t="n"/>
      <c r="F103" s="59" t="n"/>
      <c r="G103" s="59" t="n"/>
      <c r="H103" s="43" t="n"/>
      <c r="I103" s="44" t="str">
        <f>IF(E103="","",Project!$C$20)</f>
        <v/>
      </c>
      <c r="J103" s="35" t="str">
        <f>IF(OR(E103="",H103=""),"",H103*(1+IF(I103="",0,I103)))</f>
        <v/>
      </c>
      <c r="K103" s="58" t="n"/>
      <c r="L103" s="40" t="n"/>
      <c r="M103" s="40" t="n"/>
      <c r="N103" s="40" t="n"/>
      <c r="O103" s="42" t="n"/>
      <c r="P103" s="59" t="n"/>
    </row>
    <row r="104" ht="18" customHeight="1">
      <c r="A104" s="77" t="str">
        <f>IF(E104="","","CO-"&amp;TEXT(ROW()-7,"00"))</f>
        <v/>
      </c>
      <c r="B104" s="42" t="n"/>
      <c r="C104" s="40" t="n"/>
      <c r="D104" s="40" t="n"/>
      <c r="E104" s="59" t="n"/>
      <c r="F104" s="59" t="n"/>
      <c r="G104" s="59" t="n"/>
      <c r="H104" s="43" t="n"/>
      <c r="I104" s="44" t="str">
        <f>IF(E104="","",Project!$C$20)</f>
        <v/>
      </c>
      <c r="J104" s="35" t="str">
        <f>IF(OR(E104="",H104=""),"",H104*(1+IF(I104="",0,I104)))</f>
        <v/>
      </c>
      <c r="K104" s="58" t="n"/>
      <c r="L104" s="40" t="n"/>
      <c r="M104" s="40" t="n"/>
      <c r="N104" s="40" t="n"/>
      <c r="O104" s="42" t="n"/>
      <c r="P104" s="59" t="n"/>
    </row>
    <row r="105" ht="18" customHeight="1">
      <c r="A105" s="77" t="str">
        <f>IF(E105="","","CO-"&amp;TEXT(ROW()-7,"00"))</f>
        <v/>
      </c>
      <c r="B105" s="42" t="n"/>
      <c r="C105" s="40" t="n"/>
      <c r="D105" s="40" t="n"/>
      <c r="E105" s="59" t="n"/>
      <c r="F105" s="59" t="n"/>
      <c r="G105" s="59" t="n"/>
      <c r="H105" s="43" t="n"/>
      <c r="I105" s="44" t="str">
        <f>IF(E105="","",Project!$C$20)</f>
        <v/>
      </c>
      <c r="J105" s="35" t="str">
        <f>IF(OR(E105="",H105=""),"",H105*(1+IF(I105="",0,I105)))</f>
        <v/>
      </c>
      <c r="K105" s="58" t="n"/>
      <c r="L105" s="40" t="n"/>
      <c r="M105" s="40" t="n"/>
      <c r="N105" s="40" t="n"/>
      <c r="O105" s="42" t="n"/>
      <c r="P105" s="59" t="n"/>
    </row>
    <row r="106" ht="18" customHeight="1">
      <c r="A106" s="77" t="str">
        <f>IF(E106="","","CO-"&amp;TEXT(ROW()-7,"00"))</f>
        <v/>
      </c>
      <c r="B106" s="42" t="n"/>
      <c r="C106" s="40" t="n"/>
      <c r="D106" s="40" t="n"/>
      <c r="E106" s="59" t="n"/>
      <c r="F106" s="59" t="n"/>
      <c r="G106" s="59" t="n"/>
      <c r="H106" s="43" t="n"/>
      <c r="I106" s="44" t="str">
        <f>IF(E106="","",Project!$C$20)</f>
        <v/>
      </c>
      <c r="J106" s="35" t="str">
        <f>IF(OR(E106="",H106=""),"",H106*(1+IF(I106="",0,I106)))</f>
        <v/>
      </c>
      <c r="K106" s="58" t="n"/>
      <c r="L106" s="40" t="n"/>
      <c r="M106" s="40" t="n"/>
      <c r="N106" s="40" t="n"/>
      <c r="O106" s="42" t="n"/>
      <c r="P106" s="59" t="n"/>
    </row>
    <row r="107" ht="18" customHeight="1">
      <c r="A107" s="77" t="str">
        <f>IF(E107="","","CO-"&amp;TEXT(ROW()-7,"00"))</f>
        <v/>
      </c>
      <c r="B107" s="42" t="n"/>
      <c r="C107" s="40" t="n"/>
      <c r="D107" s="40" t="n"/>
      <c r="E107" s="59" t="n"/>
      <c r="F107" s="59" t="n"/>
      <c r="G107" s="59" t="n"/>
      <c r="H107" s="43" t="n"/>
      <c r="I107" s="44" t="str">
        <f>IF(E107="","",Project!$C$20)</f>
        <v/>
      </c>
      <c r="J107" s="35" t="str">
        <f>IF(OR(E107="",H107=""),"",H107*(1+IF(I107="",0,I107)))</f>
        <v/>
      </c>
      <c r="K107" s="58" t="n"/>
      <c r="L107" s="40" t="n"/>
      <c r="M107" s="40" t="n"/>
      <c r="N107" s="40" t="n"/>
      <c r="O107" s="42" t="n"/>
      <c r="P107" s="59" t="n"/>
    </row>
  </sheetData>
  <autoFilter ref="A7:P107"/>
  <mergeCells count="8">
    <mergeCell ref="B3:D3"/>
    <mergeCell ref="K4:M4"/>
    <mergeCell ref="B4:D4"/>
    <mergeCell ref="H4:J4"/>
    <mergeCell ref="E4:G4"/>
    <mergeCell ref="E3:G3"/>
    <mergeCell ref="K3:M3"/>
    <mergeCell ref="H3:J3"/>
  </mergeCells>
  <conditionalFormatting sqref="M8:M107">
    <cfRule type="expression" priority="1" dxfId="4" stopIfTrue="0">
      <formula>$M8="Signed"</formula>
    </cfRule>
    <cfRule type="expression" priority="2" dxfId="7" stopIfTrue="0">
      <formula>$M8="Sent"</formula>
    </cfRule>
    <cfRule type="expression" priority="3" dxfId="6" stopIfTrue="0">
      <formula>$M8="Draft"</formula>
    </cfRule>
    <cfRule type="expression" priority="4" dxfId="11" stopIfTrue="0">
      <formula>$M8="Void"</formula>
    </cfRule>
  </conditionalFormatting>
  <conditionalFormatting sqref="A8:P107">
    <cfRule type="expression" priority="5" dxfId="12" stopIfTrue="0">
      <formula>$M8="Void"</formula>
    </cfRule>
  </conditionalFormatting>
  <dataValidations count="6">
    <dataValidation sqref="C8:C107" showDropDown="0" showInputMessage="0" showErrorMessage="1" allowBlank="1" errorTitle="Not on the list" error="That value is not on the Lists tab. Add it there, or pick from the dropdown." type="list" errorStyle="warning">
      <formula1>=Lists!$K$4:$K$7</formula1>
    </dataValidation>
    <dataValidation sqref="D8:D107" showDropDown="0" showInputMessage="0" showErrorMessage="1" allowBlank="1" errorTitle="Not on the list" error="That value is not on the Lists tab. Add it there, or pick from the dropdown." type="list" errorStyle="warning">
      <formula1>=Lists!$C$4:$C$33</formula1>
    </dataValidation>
    <dataValidation sqref="M8:M107" showDropDown="0" showInputMessage="0" showErrorMessage="1" allowBlank="1" errorTitle="Not on the list" error="That value is not on the Lists tab. Add it there, or pick from the dropdown." type="list" errorStyle="warning">
      <formula1>=Lists!$M$4:$M$7</formula1>
    </dataValidation>
    <dataValidation sqref="K8:K107" showDropDown="0" showInputMessage="0" showErrorMessage="1" allowBlank="1" errorTitle="Number needed" error="Whole days." type="whole" operator="greaterThanOrEqual">
      <formula1>0</formula1>
    </dataValidation>
    <dataValidation sqref="B8:B107" showDropDown="0" showInputMessage="0" showErrorMessage="1" allowBlank="1" errorTitle="Date needed" error="Enter a date, like 10/15/2026." type="date" operator="greaterThan">
      <formula1>36526</formula1>
    </dataValidation>
    <dataValidation sqref="O8:O107" showDropDown="0" showInputMessage="0" showErrorMessage="1" allowBlank="1" errorTitle="Date needed" error="Enter a date, like 10/15/2026." type="date" operator="greaterThan">
      <formula1>36526</formula1>
    </dataValidation>
  </dataValidations>
  <pageMargins left="0.75" right="0.75" top="1" bottom="1" header="0.5" footer="0.5"/>
  <pageSetup orientation="landscape" fitToHeight="0" fitToWidth="1"/>
</worksheet>
</file>

<file path=xl/worksheets/sheet7.xml><?xml version="1.0" encoding="utf-8"?>
<worksheet xmlns="http://schemas.openxmlformats.org/spreadsheetml/2006/main">
  <sheetPr>
    <tabColor rgb="001B2A41"/>
    <outlinePr summaryBelow="1" summaryRight="1"/>
    <pageSetUpPr fitToPage="1"/>
  </sheetPr>
  <dimension ref="B1:K53"/>
  <sheetViews>
    <sheetView showGridLines="0" workbookViewId="0">
      <selection activeCell="A1" sqref="A1"/>
    </sheetView>
  </sheetViews>
  <sheetFormatPr baseColWidth="8" defaultRowHeight="15"/>
  <cols>
    <col width="2" customWidth="1" min="1" max="1"/>
    <col width="5" customWidth="1" min="2" max="2"/>
    <col width="14" customWidth="1" min="3" max="3"/>
    <col width="24" customWidth="1" min="4" max="4"/>
    <col width="24" customWidth="1" min="5" max="5"/>
    <col width="18" customWidth="1" min="6" max="6"/>
    <col width="9" customWidth="1" min="7" max="7"/>
    <col width="11" customWidth="1" min="8" max="8"/>
    <col width="11" customWidth="1" min="9" max="9"/>
    <col width="11" customWidth="1" min="10" max="10"/>
    <col width="9" customWidth="1" min="11" max="11"/>
    <col width="2" customWidth="1" min="12" max="12"/>
  </cols>
  <sheetData>
    <row r="1">
      <c r="B1" s="61" t="str">
        <f>Project!$C$12</f>
        <v>Your Company Name</v>
      </c>
    </row>
    <row r="2" ht="32" customHeight="1">
      <c r="B2" s="78" t="inlineStr">
        <is>
          <t>Selections for Approval</t>
        </is>
      </c>
    </row>
    <row r="4">
      <c r="C4" s="79" t="inlineStr">
        <is>
          <t>Project</t>
        </is>
      </c>
      <c r="D4" s="10" t="str">
        <f>Project!$C$6</f>
        <v>Lakeshore Residence (sample)</v>
      </c>
    </row>
    <row r="5">
      <c r="C5" s="79" t="inlineStr">
        <is>
          <t>Address</t>
        </is>
      </c>
      <c r="D5" s="10" t="str">
        <f>Project!$C$7</f>
        <v>1418 Lakeshore Dr, Anytown, NC</v>
      </c>
    </row>
    <row r="6">
      <c r="C6" s="79" t="inlineStr">
        <is>
          <t>Client</t>
        </is>
      </c>
      <c r="D6" s="10" t="str">
        <f>Project!$C$8</f>
        <v>Jordan &amp; Casey Miller (sample)</v>
      </c>
    </row>
    <row r="7">
      <c r="C7" s="79" t="inlineStr">
        <is>
          <t>Room</t>
        </is>
      </c>
      <c r="D7" s="80" t="inlineStr">
        <is>
          <t>Primary Bath</t>
        </is>
      </c>
      <c r="G7" s="81" t="inlineStr">
        <is>
          <t>&lt;- pick a room</t>
        </is>
      </c>
    </row>
    <row r="8">
      <c r="C8" s="79" t="inlineStr">
        <is>
          <t>Prepared</t>
        </is>
      </c>
      <c r="D8" s="10" t="str">
        <f>TEXT(TODAY(),"mmmm d, yyyy")</f>
        <v>September 21, 2026</v>
      </c>
    </row>
    <row r="9" ht="28" customHeight="1">
      <c r="B9" s="41" t="inlineStr">
        <is>
          <t>Please review each line. Initial the lines you approve. Anything over its allowance is shown in the Over/Under column and will be billed as a change.</t>
        </is>
      </c>
    </row>
    <row r="11" ht="28" customHeight="1">
      <c r="B11" s="31" t="inlineStr">
        <is>
          <t>#</t>
        </is>
      </c>
      <c r="C11" s="31" t="inlineStr">
        <is>
          <t>Location</t>
        </is>
      </c>
      <c r="D11" s="31" t="inlineStr">
        <is>
          <t>Item</t>
        </is>
      </c>
      <c r="E11" s="31" t="inlineStr">
        <is>
          <t>Make / Model</t>
        </is>
      </c>
      <c r="F11" s="31" t="inlineStr">
        <is>
          <t>Finish</t>
        </is>
      </c>
      <c r="G11" s="31" t="inlineStr">
        <is>
          <t>Qty</t>
        </is>
      </c>
      <c r="H11" s="31" t="inlineStr">
        <is>
          <t>Allowance</t>
        </is>
      </c>
      <c r="I11" s="31" t="inlineStr">
        <is>
          <t>Price</t>
        </is>
      </c>
      <c r="J11" s="31" t="inlineStr">
        <is>
          <t>Over / Under</t>
        </is>
      </c>
      <c r="K11" s="31" t="inlineStr">
        <is>
          <t>Initials</t>
        </is>
      </c>
    </row>
    <row r="12" ht="26" customHeight="1">
      <c r="B12" s="82">
        <f>IF(ROW()-11&gt;MAX('Finish Schedule'!$AE$6:$AE$305),"",ROW()-11)</f>
        <v>1</v>
      </c>
      <c r="C12" s="83" t="str">
        <f>IF($B12="","",INDEX('Finish Schedule'!$D$6:$D$305,MATCH($B12,'Finish Schedule'!$AE$6:$AE$305,0))&amp;"")</f>
        <v>Shower, back wall</v>
      </c>
      <c r="D12" s="84" t="str">
        <f>IF($B12="","",INDEX('Finish Schedule'!$C$6:$C$305,MATCH($B12,'Finish Schedule'!$AE$6:$AE$305,0))&amp;"")</f>
        <v>Linear shower drain</v>
      </c>
      <c r="E12" s="84" t="str">
        <f>IF($B12="","",TRIM(INDEX('Finish Schedule'!$H$6:$H$305,MATCH($B12,'Finish Schedule'!$AE$6:$AE$305,0))&amp;" "&amp;INDEX('Finish Schedule'!$I$6:$I$305,MATCH($B12,'Finish Schedule'!$AE$6:$AE$305,0))))</f>
        <v>Schluter KERDI-LINE 36 in (sample)</v>
      </c>
      <c r="F12" s="84" t="str">
        <f>IF($B12="","",INDEX('Finish Schedule'!$J$6:$J$305,MATCH($B12,'Finish Schedule'!$AE$6:$AE$305,0))&amp;"")</f>
        <v>Brushed Stainless</v>
      </c>
      <c r="G12" s="82" t="str">
        <f>IF($B12="","",TRIM(INDEX('Finish Schedule'!$L$6:$L$305,MATCH($B12,'Finish Schedule'!$AE$6:$AE$305,0))&amp;" "&amp;INDEX('Finish Schedule'!$M$6:$M$305,MATCH($B12,'Finish Schedule'!$AE$6:$AE$305,0))))</f>
        <v>1 ea</v>
      </c>
      <c r="H12" s="85" t="str">
        <f>IF($B12="","",IF(INDEX('Finish Schedule'!$P$6:$P$305,MATCH($B12,'Finish Schedule'!$AE$6:$AE$305,0))="","",INDEX('Finish Schedule'!$P$6:$P$305,MATCH($B12,'Finish Schedule'!$AE$6:$AE$305,0))))</f>
        <v/>
      </c>
      <c r="I12" s="85">
        <f>IF($B12="","",IF(INDEX('Finish Schedule'!$O$6:$O$305,MATCH($B12,'Finish Schedule'!$AE$6:$AE$305,0))="","",INDEX('Finish Schedule'!$O$6:$O$305,MATCH($B12,'Finish Schedule'!$AE$6:$AE$305,0))))</f>
        <v>289</v>
      </c>
      <c r="J12" s="86" t="str">
        <f>IF($B12="","",IF(INDEX('Finish Schedule'!$Q$6:$Q$305,MATCH($B12,'Finish Schedule'!$AE$6:$AE$305,0))="","",INDEX('Finish Schedule'!$Q$6:$Q$305,MATCH($B12,'Finish Schedule'!$AE$6:$AE$305,0))))</f>
        <v/>
      </c>
      <c r="K12" s="87" t="n"/>
    </row>
    <row r="13" ht="26" customHeight="1">
      <c r="B13" s="82">
        <f>IF(ROW()-11&gt;MAX('Finish Schedule'!$AE$6:$AE$305),"",ROW()-11)</f>
        <v>2</v>
      </c>
      <c r="C13" s="83" t="str">
        <f>IF($B13="","",INDEX('Finish Schedule'!$D$6:$D$305,MATCH($B13,'Finish Schedule'!$AE$6:$AE$305,0))&amp;"")</f>
        <v>Double vanity</v>
      </c>
      <c r="D13" s="84" t="str">
        <f>IF($B13="","",INDEX('Finish Schedule'!$C$6:$C$305,MATCH($B13,'Finish Schedule'!$AE$6:$AE$305,0))&amp;"")</f>
        <v>Vanity faucets</v>
      </c>
      <c r="E13" s="84" t="str">
        <f>IF($B13="","",TRIM(INDEX('Finish Schedule'!$H$6:$H$305,MATCH($B13,'Finish Schedule'!$AE$6:$AE$305,0))&amp;" "&amp;INDEX('Finish Schedule'!$I$6:$I$305,MATCH($B13,'Finish Schedule'!$AE$6:$AE$305,0))))</f>
        <v>Moen 6192BG (sample)</v>
      </c>
      <c r="F13" s="84" t="str">
        <f>IF($B13="","",INDEX('Finish Schedule'!$J$6:$J$305,MATCH($B13,'Finish Schedule'!$AE$6:$AE$305,0))&amp;"")</f>
        <v>Brushed Gold</v>
      </c>
      <c r="G13" s="82" t="str">
        <f>IF($B13="","",TRIM(INDEX('Finish Schedule'!$L$6:$L$305,MATCH($B13,'Finish Schedule'!$AE$6:$AE$305,0))&amp;" "&amp;INDEX('Finish Schedule'!$M$6:$M$305,MATCH($B13,'Finish Schedule'!$AE$6:$AE$305,0))))</f>
        <v>2 ea</v>
      </c>
      <c r="H13" s="85">
        <f>IF($B13="","",IF(INDEX('Finish Schedule'!$P$6:$P$305,MATCH($B13,'Finish Schedule'!$AE$6:$AE$305,0))="","",INDEX('Finish Schedule'!$P$6:$P$305,MATCH($B13,'Finish Schedule'!$AE$6:$AE$305,0))))</f>
        <v>800</v>
      </c>
      <c r="I13" s="85">
        <f>IF($B13="","",IF(INDEX('Finish Schedule'!$O$6:$O$305,MATCH($B13,'Finish Schedule'!$AE$6:$AE$305,0))="","",INDEX('Finish Schedule'!$O$6:$O$305,MATCH($B13,'Finish Schedule'!$AE$6:$AE$305,0))))</f>
        <v>730</v>
      </c>
      <c r="J13" s="86">
        <f>IF($B13="","",IF(INDEX('Finish Schedule'!$Q$6:$Q$305,MATCH($B13,'Finish Schedule'!$AE$6:$AE$305,0))="","",INDEX('Finish Schedule'!$Q$6:$Q$305,MATCH($B13,'Finish Schedule'!$AE$6:$AE$305,0))))</f>
        <v>-70</v>
      </c>
      <c r="K13" s="87" t="n"/>
    </row>
    <row r="14" ht="26" customHeight="1">
      <c r="B14" s="82">
        <f>IF(ROW()-11&gt;MAX('Finish Schedule'!$AE$6:$AE$305),"",ROW()-11)</f>
        <v>3</v>
      </c>
      <c r="C14" s="83" t="str">
        <f>IF($B14="","",INDEX('Finish Schedule'!$D$6:$D$305,MATCH($B14,'Finish Schedule'!$AE$6:$AE$305,0))&amp;"")</f>
        <v>Shower</v>
      </c>
      <c r="D14" s="84" t="str">
        <f>IF($B14="","",INDEX('Finish Schedule'!$C$6:$C$305,MATCH($B14,'Finish Schedule'!$AE$6:$AE$305,0))&amp;"")</f>
        <v>Shower valve and trim</v>
      </c>
      <c r="E14" s="84" t="str">
        <f>IF($B14="","",TRIM(INDEX('Finish Schedule'!$H$6:$H$305,MATCH($B14,'Finish Schedule'!$AE$6:$AE$305,0))&amp;" "&amp;INDEX('Finish Schedule'!$I$6:$I$305,MATCH($B14,'Finish Schedule'!$AE$6:$AE$305,0))))</f>
        <v>Kohler K-TS73060-4 (sample)</v>
      </c>
      <c r="F14" s="84" t="str">
        <f>IF($B14="","",INDEX('Finish Schedule'!$J$6:$J$305,MATCH($B14,'Finish Schedule'!$AE$6:$AE$305,0))&amp;"")</f>
        <v>Vibrant Brushed Moderne Brass</v>
      </c>
      <c r="G14" s="82" t="str">
        <f>IF($B14="","",TRIM(INDEX('Finish Schedule'!$L$6:$L$305,MATCH($B14,'Finish Schedule'!$AE$6:$AE$305,0))&amp;" "&amp;INDEX('Finish Schedule'!$M$6:$M$305,MATCH($B14,'Finish Schedule'!$AE$6:$AE$305,0))))</f>
        <v>1 set</v>
      </c>
      <c r="H14" s="85">
        <f>IF($B14="","",IF(INDEX('Finish Schedule'!$P$6:$P$305,MATCH($B14,'Finish Schedule'!$AE$6:$AE$305,0))="","",INDEX('Finish Schedule'!$P$6:$P$305,MATCH($B14,'Finish Schedule'!$AE$6:$AE$305,0))))</f>
        <v>900</v>
      </c>
      <c r="I14" s="85">
        <f>IF($B14="","",IF(INDEX('Finish Schedule'!$O$6:$O$305,MATCH($B14,'Finish Schedule'!$AE$6:$AE$305,0))="","",INDEX('Finish Schedule'!$O$6:$O$305,MATCH($B14,'Finish Schedule'!$AE$6:$AE$305,0))))</f>
        <v>1180</v>
      </c>
      <c r="J14" s="86">
        <f>IF($B14="","",IF(INDEX('Finish Schedule'!$Q$6:$Q$305,MATCH($B14,'Finish Schedule'!$AE$6:$AE$305,0))="","",INDEX('Finish Schedule'!$Q$6:$Q$305,MATCH($B14,'Finish Schedule'!$AE$6:$AE$305,0))))</f>
        <v>280</v>
      </c>
      <c r="K14" s="87" t="n"/>
    </row>
    <row r="15" ht="26" customHeight="1">
      <c r="B15" s="82">
        <f>IF(ROW()-11&gt;MAX('Finish Schedule'!$AE$6:$AE$305),"",ROW()-11)</f>
        <v>4</v>
      </c>
      <c r="C15" s="83" t="str">
        <f>IF($B15="","",INDEX('Finish Schedule'!$D$6:$D$305,MATCH($B15,'Finish Schedule'!$AE$6:$AE$305,0))&amp;"")</f>
        <v>Shower, side wall</v>
      </c>
      <c r="D15" s="84" t="str">
        <f>IF($B15="","",INDEX('Finish Schedule'!$C$6:$C$305,MATCH($B15,'Finish Schedule'!$AE$6:$AE$305,0))&amp;"")</f>
        <v>Shower niche</v>
      </c>
      <c r="E15" s="84" t="str">
        <f>IF($B15="","",TRIM(INDEX('Finish Schedule'!$H$6:$H$305,MATCH($B15,'Finish Schedule'!$AE$6:$AE$305,0))&amp;" "&amp;INDEX('Finish Schedule'!$I$6:$I$305,MATCH($B15,'Finish Schedule'!$AE$6:$AE$305,0))))</f>
        <v>Schluter KERDI-BOARD-SN (sample)</v>
      </c>
      <c r="F15" s="84" t="str">
        <f>IF($B15="","",INDEX('Finish Schedule'!$J$6:$J$305,MATCH($B15,'Finish Schedule'!$AE$6:$AE$305,0))&amp;"")</f>
        <v>N/A</v>
      </c>
      <c r="G15" s="82" t="str">
        <f>IF($B15="","",TRIM(INDEX('Finish Schedule'!$L$6:$L$305,MATCH($B15,'Finish Schedule'!$AE$6:$AE$305,0))&amp;" "&amp;INDEX('Finish Schedule'!$M$6:$M$305,MATCH($B15,'Finish Schedule'!$AE$6:$AE$305,0))))</f>
        <v>1 ea</v>
      </c>
      <c r="H15" s="85" t="str">
        <f>IF($B15="","",IF(INDEX('Finish Schedule'!$P$6:$P$305,MATCH($B15,'Finish Schedule'!$AE$6:$AE$305,0))="","",INDEX('Finish Schedule'!$P$6:$P$305,MATCH($B15,'Finish Schedule'!$AE$6:$AE$305,0))))</f>
        <v/>
      </c>
      <c r="I15" s="85">
        <f>IF($B15="","",IF(INDEX('Finish Schedule'!$O$6:$O$305,MATCH($B15,'Finish Schedule'!$AE$6:$AE$305,0))="","",INDEX('Finish Schedule'!$O$6:$O$305,MATCH($B15,'Finish Schedule'!$AE$6:$AE$305,0))))</f>
        <v>185</v>
      </c>
      <c r="J15" s="86" t="str">
        <f>IF($B15="","",IF(INDEX('Finish Schedule'!$Q$6:$Q$305,MATCH($B15,'Finish Schedule'!$AE$6:$AE$305,0))="","",INDEX('Finish Schedule'!$Q$6:$Q$305,MATCH($B15,'Finish Schedule'!$AE$6:$AE$305,0))))</f>
        <v/>
      </c>
      <c r="K15" s="87" t="n"/>
    </row>
    <row r="16" ht="26" customHeight="1">
      <c r="B16" s="82">
        <f>IF(ROW()-11&gt;MAX('Finish Schedule'!$AE$6:$AE$305),"",ROW()-11)</f>
        <v>5</v>
      </c>
      <c r="C16" s="83" t="str">
        <f>IF($B16="","",INDEX('Finish Schedule'!$D$6:$D$305,MATCH($B16,'Finish Schedule'!$AE$6:$AE$305,0))&amp;"")</f>
        <v>Shower + toilet</v>
      </c>
      <c r="D16" s="84" t="str">
        <f>IF($B16="","",INDEX('Finish Schedule'!$C$6:$C$305,MATCH($B16,'Finish Schedule'!$AE$6:$AE$305,0))&amp;"")</f>
        <v>Blocking, grab bar and glass</v>
      </c>
      <c r="E16" s="84" t="str">
        <f>IF($B16="","",TRIM(INDEX('Finish Schedule'!$H$6:$H$305,MATCH($B16,'Finish Schedule'!$AE$6:$AE$305,0))&amp;" "&amp;INDEX('Finish Schedule'!$I$6:$I$305,MATCH($B16,'Finish Schedule'!$AE$6:$AE$305,0))))</f>
        <v>Framing crew 2x10 blocking</v>
      </c>
      <c r="F16" s="84" t="str">
        <f>IF($B16="","",INDEX('Finish Schedule'!$J$6:$J$305,MATCH($B16,'Finish Schedule'!$AE$6:$AE$305,0))&amp;"")</f>
        <v>N/A</v>
      </c>
      <c r="G16" s="82" t="str">
        <f>IF($B16="","",TRIM(INDEX('Finish Schedule'!$L$6:$L$305,MATCH($B16,'Finish Schedule'!$AE$6:$AE$305,0))&amp;" "&amp;INDEX('Finish Schedule'!$M$6:$M$305,MATCH($B16,'Finish Schedule'!$AE$6:$AE$305,0))))</f>
        <v>1 lot</v>
      </c>
      <c r="H16" s="85" t="str">
        <f>IF($B16="","",IF(INDEX('Finish Schedule'!$P$6:$P$305,MATCH($B16,'Finish Schedule'!$AE$6:$AE$305,0))="","",INDEX('Finish Schedule'!$P$6:$P$305,MATCH($B16,'Finish Schedule'!$AE$6:$AE$305,0))))</f>
        <v/>
      </c>
      <c r="I16" s="85">
        <f>IF($B16="","",IF(INDEX('Finish Schedule'!$O$6:$O$305,MATCH($B16,'Finish Schedule'!$AE$6:$AE$305,0))="","",INDEX('Finish Schedule'!$O$6:$O$305,MATCH($B16,'Finish Schedule'!$AE$6:$AE$305,0))))</f>
        <v>120</v>
      </c>
      <c r="J16" s="86" t="str">
        <f>IF($B16="","",IF(INDEX('Finish Schedule'!$Q$6:$Q$305,MATCH($B16,'Finish Schedule'!$AE$6:$AE$305,0))="","",INDEX('Finish Schedule'!$Q$6:$Q$305,MATCH($B16,'Finish Schedule'!$AE$6:$AE$305,0))))</f>
        <v/>
      </c>
      <c r="K16" s="87" t="n"/>
    </row>
    <row r="17" ht="26" customHeight="1">
      <c r="B17" s="82">
        <f>IF(ROW()-11&gt;MAX('Finish Schedule'!$AE$6:$AE$305),"",ROW()-11)</f>
        <v>6</v>
      </c>
      <c r="C17" s="83" t="str">
        <f>IF($B17="","",INDEX('Finish Schedule'!$D$6:$D$305,MATCH($B17,'Finish Schedule'!$AE$6:$AE$305,0))&amp;"")</f>
        <v>Bath floor</v>
      </c>
      <c r="D17" s="84" t="str">
        <f>IF($B17="","",INDEX('Finish Schedule'!$C$6:$C$305,MATCH($B17,'Finish Schedule'!$AE$6:$AE$305,0))&amp;"")</f>
        <v>Floor tile</v>
      </c>
      <c r="E17" s="84" t="str">
        <f>IF($B17="","",TRIM(INDEX('Finish Schedule'!$H$6:$H$305,MATCH($B17,'Finish Schedule'!$AE$6:$AE$305,0))&amp;" "&amp;INDEX('Finish Schedule'!$I$6:$I$305,MATCH($B17,'Finish Schedule'!$AE$6:$AE$305,0))))</f>
        <v>Daltile 12x24 porcelain (sample)</v>
      </c>
      <c r="F17" s="84" t="str">
        <f>IF($B17="","",INDEX('Finish Schedule'!$J$6:$J$305,MATCH($B17,'Finish Schedule'!$AE$6:$AE$305,0))&amp;"")</f>
        <v>Matte Ash</v>
      </c>
      <c r="G17" s="82" t="str">
        <f>IF($B17="","",TRIM(INDEX('Finish Schedule'!$L$6:$L$305,MATCH($B17,'Finish Schedule'!$AE$6:$AE$305,0))&amp;" "&amp;INDEX('Finish Schedule'!$M$6:$M$305,MATCH($B17,'Finish Schedule'!$AE$6:$AE$305,0))))</f>
        <v>120 sf</v>
      </c>
      <c r="H17" s="85">
        <f>IF($B17="","",IF(INDEX('Finish Schedule'!$P$6:$P$305,MATCH($B17,'Finish Schedule'!$AE$6:$AE$305,0))="","",INDEX('Finish Schedule'!$P$6:$P$305,MATCH($B17,'Finish Schedule'!$AE$6:$AE$305,0))))</f>
        <v>960</v>
      </c>
      <c r="I17" s="85">
        <f>IF($B17="","",IF(INDEX('Finish Schedule'!$O$6:$O$305,MATCH($B17,'Finish Schedule'!$AE$6:$AE$305,0))="","",INDEX('Finish Schedule'!$O$6:$O$305,MATCH($B17,'Finish Schedule'!$AE$6:$AE$305,0))))</f>
        <v>1140</v>
      </c>
      <c r="J17" s="86">
        <f>IF($B17="","",IF(INDEX('Finish Schedule'!$Q$6:$Q$305,MATCH($B17,'Finish Schedule'!$AE$6:$AE$305,0))="","",INDEX('Finish Schedule'!$Q$6:$Q$305,MATCH($B17,'Finish Schedule'!$AE$6:$AE$305,0))))</f>
        <v>180</v>
      </c>
      <c r="K17" s="87" t="n"/>
    </row>
    <row r="18" ht="26" customHeight="1">
      <c r="B18" s="82">
        <f>IF(ROW()-11&gt;MAX('Finish Schedule'!$AE$6:$AE$305),"",ROW()-11)</f>
        <v>7</v>
      </c>
      <c r="C18" s="83" t="str">
        <f>IF($B18="","",INDEX('Finish Schedule'!$D$6:$D$305,MATCH($B18,'Finish Schedule'!$AE$6:$AE$305,0))&amp;"")</f>
        <v>Shower walls</v>
      </c>
      <c r="D18" s="84" t="str">
        <f>IF($B18="","",INDEX('Finish Schedule'!$C$6:$C$305,MATCH($B18,'Finish Schedule'!$AE$6:$AE$305,0))&amp;"")</f>
        <v>Shower wall tile</v>
      </c>
      <c r="E18" s="84" t="str">
        <f>IF($B18="","",TRIM(INDEX('Finish Schedule'!$H$6:$H$305,MATCH($B18,'Finish Schedule'!$AE$6:$AE$305,0))&amp;" "&amp;INDEX('Finish Schedule'!$I$6:$I$305,MATCH($B18,'Finish Schedule'!$AE$6:$AE$305,0))))</f>
        <v>Daltile 3x12 ceramic (sample)</v>
      </c>
      <c r="F18" s="84" t="str">
        <f>IF($B18="","",INDEX('Finish Schedule'!$J$6:$J$305,MATCH($B18,'Finish Schedule'!$AE$6:$AE$305,0))&amp;"")</f>
        <v>Gloss White</v>
      </c>
      <c r="G18" s="82" t="str">
        <f>IF($B18="","",TRIM(INDEX('Finish Schedule'!$L$6:$L$305,MATCH($B18,'Finish Schedule'!$AE$6:$AE$305,0))&amp;" "&amp;INDEX('Finish Schedule'!$M$6:$M$305,MATCH($B18,'Finish Schedule'!$AE$6:$AE$305,0))))</f>
        <v>180 sf</v>
      </c>
      <c r="H18" s="85">
        <f>IF($B18="","",IF(INDEX('Finish Schedule'!$P$6:$P$305,MATCH($B18,'Finish Schedule'!$AE$6:$AE$305,0))="","",INDEX('Finish Schedule'!$P$6:$P$305,MATCH($B18,'Finish Schedule'!$AE$6:$AE$305,0))))</f>
        <v>1440</v>
      </c>
      <c r="I18" s="85">
        <f>IF($B18="","",IF(INDEX('Finish Schedule'!$O$6:$O$305,MATCH($B18,'Finish Schedule'!$AE$6:$AE$305,0))="","",INDEX('Finish Schedule'!$O$6:$O$305,MATCH($B18,'Finish Schedule'!$AE$6:$AE$305,0))))</f>
        <v>1305</v>
      </c>
      <c r="J18" s="86">
        <f>IF($B18="","",IF(INDEX('Finish Schedule'!$Q$6:$Q$305,MATCH($B18,'Finish Schedule'!$AE$6:$AE$305,0))="","",INDEX('Finish Schedule'!$Q$6:$Q$305,MATCH($B18,'Finish Schedule'!$AE$6:$AE$305,0))))</f>
        <v>-135</v>
      </c>
      <c r="K18" s="87" t="n"/>
    </row>
    <row r="19" ht="26" customHeight="1">
      <c r="B19" s="82">
        <f>IF(ROW()-11&gt;MAX('Finish Schedule'!$AE$6:$AE$305),"",ROW()-11)</f>
        <v>8</v>
      </c>
      <c r="C19" s="83" t="str">
        <f>IF($B19="","",INDEX('Finish Schedule'!$D$6:$D$305,MATCH($B19,'Finish Schedule'!$AE$6:$AE$305,0))&amp;"")</f>
        <v>Shower</v>
      </c>
      <c r="D19" s="84" t="str">
        <f>IF($B19="","",INDEX('Finish Schedule'!$C$6:$C$305,MATCH($B19,'Finish Schedule'!$AE$6:$AE$305,0))&amp;"")</f>
        <v>Shower glass</v>
      </c>
      <c r="E19" s="84" t="str">
        <f>IF($B19="","",TRIM(INDEX('Finish Schedule'!$H$6:$H$305,MATCH($B19,'Finish Schedule'!$AE$6:$AE$305,0))&amp;" "&amp;INDEX('Finish Schedule'!$I$6:$I$305,MATCH($B19,'Finish Schedule'!$AE$6:$AE$305,0))))</f>
        <v>Local glass shop</v>
      </c>
      <c r="F19" s="84" t="str">
        <f>IF($B19="","",INDEX('Finish Schedule'!$J$6:$J$305,MATCH($B19,'Finish Schedule'!$AE$6:$AE$305,0))&amp;"")</f>
        <v/>
      </c>
      <c r="G19" s="82" t="str">
        <f>IF($B19="","",TRIM(INDEX('Finish Schedule'!$L$6:$L$305,MATCH($B19,'Finish Schedule'!$AE$6:$AE$305,0))&amp;" "&amp;INDEX('Finish Schedule'!$M$6:$M$305,MATCH($B19,'Finish Schedule'!$AE$6:$AE$305,0))))</f>
        <v>1 ea</v>
      </c>
      <c r="H19" s="85" t="str">
        <f>IF($B19="","",IF(INDEX('Finish Schedule'!$P$6:$P$305,MATCH($B19,'Finish Schedule'!$AE$6:$AE$305,0))="","",INDEX('Finish Schedule'!$P$6:$P$305,MATCH($B19,'Finish Schedule'!$AE$6:$AE$305,0))))</f>
        <v/>
      </c>
      <c r="I19" s="85" t="str">
        <f>IF($B19="","",IF(INDEX('Finish Schedule'!$O$6:$O$305,MATCH($B19,'Finish Schedule'!$AE$6:$AE$305,0))="","",INDEX('Finish Schedule'!$O$6:$O$305,MATCH($B19,'Finish Schedule'!$AE$6:$AE$305,0))))</f>
        <v/>
      </c>
      <c r="J19" s="86" t="str">
        <f>IF($B19="","",IF(INDEX('Finish Schedule'!$Q$6:$Q$305,MATCH($B19,'Finish Schedule'!$AE$6:$AE$305,0))="","",INDEX('Finish Schedule'!$Q$6:$Q$305,MATCH($B19,'Finish Schedule'!$AE$6:$AE$305,0))))</f>
        <v/>
      </c>
      <c r="K19" s="87" t="n"/>
    </row>
    <row r="20" ht="26" customHeight="1">
      <c r="B20" s="82">
        <f>IF(ROW()-11&gt;MAX('Finish Schedule'!$AE$6:$AE$305),"",ROW()-11)</f>
        <v>9</v>
      </c>
      <c r="C20" s="83" t="str">
        <f>IF($B20="","",INDEX('Finish Schedule'!$D$6:$D$305,MATCH($B20,'Finish Schedule'!$AE$6:$AE$305,0))&amp;"")</f>
        <v>Over vanity</v>
      </c>
      <c r="D20" s="84" t="str">
        <f>IF($B20="","",INDEX('Finish Schedule'!$C$6:$C$305,MATCH($B20,'Finish Schedule'!$AE$6:$AE$305,0))&amp;"")</f>
        <v>Mirrors</v>
      </c>
      <c r="E20" s="84" t="str">
        <f>IF($B20="","",TRIM(INDEX('Finish Schedule'!$H$6:$H$305,MATCH($B20,'Finish Schedule'!$AE$6:$AE$305,0))&amp;" "&amp;INDEX('Finish Schedule'!$I$6:$I$305,MATCH($B20,'Finish Schedule'!$AE$6:$AE$305,0))))</f>
        <v>Kohler Essential 24x36 (sample)</v>
      </c>
      <c r="F20" s="84" t="str">
        <f>IF($B20="","",INDEX('Finish Schedule'!$J$6:$J$305,MATCH($B20,'Finish Schedule'!$AE$6:$AE$305,0))&amp;"")</f>
        <v>Brushed Gold frame</v>
      </c>
      <c r="G20" s="82" t="str">
        <f>IF($B20="","",TRIM(INDEX('Finish Schedule'!$L$6:$L$305,MATCH($B20,'Finish Schedule'!$AE$6:$AE$305,0))&amp;" "&amp;INDEX('Finish Schedule'!$M$6:$M$305,MATCH($B20,'Finish Schedule'!$AE$6:$AE$305,0))))</f>
        <v>2 ea</v>
      </c>
      <c r="H20" s="85" t="str">
        <f>IF($B20="","",IF(INDEX('Finish Schedule'!$P$6:$P$305,MATCH($B20,'Finish Schedule'!$AE$6:$AE$305,0))="","",INDEX('Finish Schedule'!$P$6:$P$305,MATCH($B20,'Finish Schedule'!$AE$6:$AE$305,0))))</f>
        <v/>
      </c>
      <c r="I20" s="85">
        <f>IF($B20="","",IF(INDEX('Finish Schedule'!$O$6:$O$305,MATCH($B20,'Finish Schedule'!$AE$6:$AE$305,0))="","",INDEX('Finish Schedule'!$O$6:$O$305,MATCH($B20,'Finish Schedule'!$AE$6:$AE$305,0))))</f>
        <v>480</v>
      </c>
      <c r="J20" s="86" t="str">
        <f>IF($B20="","",IF(INDEX('Finish Schedule'!$Q$6:$Q$305,MATCH($B20,'Finish Schedule'!$AE$6:$AE$305,0))="","",INDEX('Finish Schedule'!$Q$6:$Q$305,MATCH($B20,'Finish Schedule'!$AE$6:$AE$305,0))))</f>
        <v/>
      </c>
      <c r="K20" s="87" t="n"/>
    </row>
    <row r="21" ht="26" customHeight="1">
      <c r="B21" s="82">
        <f>IF(ROW()-11&gt;MAX('Finish Schedule'!$AE$6:$AE$305),"",ROW()-11)</f>
        <v>10</v>
      </c>
      <c r="C21" s="83" t="str">
        <f>IF($B21="","",INDEX('Finish Schedule'!$D$6:$D$305,MATCH($B21,'Finish Schedule'!$AE$6:$AE$305,0))&amp;"")</f>
        <v>Bath</v>
      </c>
      <c r="D21" s="84" t="str">
        <f>IF($B21="","",INDEX('Finish Schedule'!$C$6:$C$305,MATCH($B21,'Finish Schedule'!$AE$6:$AE$305,0))&amp;"")</f>
        <v>Towel bars and accessories</v>
      </c>
      <c r="E21" s="84" t="str">
        <f>IF($B21="","",TRIM(INDEX('Finish Schedule'!$H$6:$H$305,MATCH($B21,'Finish Schedule'!$AE$6:$AE$305,0))&amp;" "&amp;INDEX('Finish Schedule'!$I$6:$I$305,MATCH($B21,'Finish Schedule'!$AE$6:$AE$305,0))))</f>
        <v>Moen Align set (sample)</v>
      </c>
      <c r="F21" s="84" t="str">
        <f>IF($B21="","",INDEX('Finish Schedule'!$J$6:$J$305,MATCH($B21,'Finish Schedule'!$AE$6:$AE$305,0))&amp;"")</f>
        <v>Brushed Gold</v>
      </c>
      <c r="G21" s="82" t="str">
        <f>IF($B21="","",TRIM(INDEX('Finish Schedule'!$L$6:$L$305,MATCH($B21,'Finish Schedule'!$AE$6:$AE$305,0))&amp;" "&amp;INDEX('Finish Schedule'!$M$6:$M$305,MATCH($B21,'Finish Schedule'!$AE$6:$AE$305,0))))</f>
        <v>1 set</v>
      </c>
      <c r="H21" s="85" t="str">
        <f>IF($B21="","",IF(INDEX('Finish Schedule'!$P$6:$P$305,MATCH($B21,'Finish Schedule'!$AE$6:$AE$305,0))="","",INDEX('Finish Schedule'!$P$6:$P$305,MATCH($B21,'Finish Schedule'!$AE$6:$AE$305,0))))</f>
        <v/>
      </c>
      <c r="I21" s="85">
        <f>IF($B21="","",IF(INDEX('Finish Schedule'!$O$6:$O$305,MATCH($B21,'Finish Schedule'!$AE$6:$AE$305,0))="","",INDEX('Finish Schedule'!$O$6:$O$305,MATCH($B21,'Finish Schedule'!$AE$6:$AE$305,0))))</f>
        <v>385</v>
      </c>
      <c r="J21" s="86" t="str">
        <f>IF($B21="","",IF(INDEX('Finish Schedule'!$Q$6:$Q$305,MATCH($B21,'Finish Schedule'!$AE$6:$AE$305,0))="","",INDEX('Finish Schedule'!$Q$6:$Q$305,MATCH($B21,'Finish Schedule'!$AE$6:$AE$305,0))))</f>
        <v/>
      </c>
      <c r="K21" s="87" t="n"/>
    </row>
    <row r="22" ht="26" customHeight="1">
      <c r="B22" s="82" t="str">
        <f>IF(ROW()-11&gt;MAX('Finish Schedule'!$AE$6:$AE$305),"",ROW()-11)</f>
        <v/>
      </c>
      <c r="C22" s="83" t="str">
        <f>IF($B22="","",INDEX('Finish Schedule'!$D$6:$D$305,MATCH($B22,'Finish Schedule'!$AE$6:$AE$305,0))&amp;"")</f>
        <v/>
      </c>
      <c r="D22" s="84" t="str">
        <f>IF($B22="","",INDEX('Finish Schedule'!$C$6:$C$305,MATCH($B22,'Finish Schedule'!$AE$6:$AE$305,0))&amp;"")</f>
        <v/>
      </c>
      <c r="E22" s="84" t="str">
        <f>IF($B22="","",TRIM(INDEX('Finish Schedule'!$H$6:$H$305,MATCH($B22,'Finish Schedule'!$AE$6:$AE$305,0))&amp;" "&amp;INDEX('Finish Schedule'!$I$6:$I$305,MATCH($B22,'Finish Schedule'!$AE$6:$AE$305,0))))</f>
        <v/>
      </c>
      <c r="F22" s="84" t="str">
        <f>IF($B22="","",INDEX('Finish Schedule'!$J$6:$J$305,MATCH($B22,'Finish Schedule'!$AE$6:$AE$305,0))&amp;"")</f>
        <v/>
      </c>
      <c r="G22" s="82" t="str">
        <f>IF($B22="","",TRIM(INDEX('Finish Schedule'!$L$6:$L$305,MATCH($B22,'Finish Schedule'!$AE$6:$AE$305,0))&amp;" "&amp;INDEX('Finish Schedule'!$M$6:$M$305,MATCH($B22,'Finish Schedule'!$AE$6:$AE$305,0))))</f>
        <v/>
      </c>
      <c r="H22" s="85" t="str">
        <f>IF($B22="","",IF(INDEX('Finish Schedule'!$P$6:$P$305,MATCH($B22,'Finish Schedule'!$AE$6:$AE$305,0))="","",INDEX('Finish Schedule'!$P$6:$P$305,MATCH($B22,'Finish Schedule'!$AE$6:$AE$305,0))))</f>
        <v/>
      </c>
      <c r="I22" s="85" t="str">
        <f>IF($B22="","",IF(INDEX('Finish Schedule'!$O$6:$O$305,MATCH($B22,'Finish Schedule'!$AE$6:$AE$305,0))="","",INDEX('Finish Schedule'!$O$6:$O$305,MATCH($B22,'Finish Schedule'!$AE$6:$AE$305,0))))</f>
        <v/>
      </c>
      <c r="J22" s="86" t="str">
        <f>IF($B22="","",IF(INDEX('Finish Schedule'!$Q$6:$Q$305,MATCH($B22,'Finish Schedule'!$AE$6:$AE$305,0))="","",INDEX('Finish Schedule'!$Q$6:$Q$305,MATCH($B22,'Finish Schedule'!$AE$6:$AE$305,0))))</f>
        <v/>
      </c>
      <c r="K22" s="87" t="n"/>
    </row>
    <row r="23" ht="26" customHeight="1">
      <c r="B23" s="82" t="str">
        <f>IF(ROW()-11&gt;MAX('Finish Schedule'!$AE$6:$AE$305),"",ROW()-11)</f>
        <v/>
      </c>
      <c r="C23" s="83" t="str">
        <f>IF($B23="","",INDEX('Finish Schedule'!$D$6:$D$305,MATCH($B23,'Finish Schedule'!$AE$6:$AE$305,0))&amp;"")</f>
        <v/>
      </c>
      <c r="D23" s="84" t="str">
        <f>IF($B23="","",INDEX('Finish Schedule'!$C$6:$C$305,MATCH($B23,'Finish Schedule'!$AE$6:$AE$305,0))&amp;"")</f>
        <v/>
      </c>
      <c r="E23" s="84" t="str">
        <f>IF($B23="","",TRIM(INDEX('Finish Schedule'!$H$6:$H$305,MATCH($B23,'Finish Schedule'!$AE$6:$AE$305,0))&amp;" "&amp;INDEX('Finish Schedule'!$I$6:$I$305,MATCH($B23,'Finish Schedule'!$AE$6:$AE$305,0))))</f>
        <v/>
      </c>
      <c r="F23" s="84" t="str">
        <f>IF($B23="","",INDEX('Finish Schedule'!$J$6:$J$305,MATCH($B23,'Finish Schedule'!$AE$6:$AE$305,0))&amp;"")</f>
        <v/>
      </c>
      <c r="G23" s="82" t="str">
        <f>IF($B23="","",TRIM(INDEX('Finish Schedule'!$L$6:$L$305,MATCH($B23,'Finish Schedule'!$AE$6:$AE$305,0))&amp;" "&amp;INDEX('Finish Schedule'!$M$6:$M$305,MATCH($B23,'Finish Schedule'!$AE$6:$AE$305,0))))</f>
        <v/>
      </c>
      <c r="H23" s="85" t="str">
        <f>IF($B23="","",IF(INDEX('Finish Schedule'!$P$6:$P$305,MATCH($B23,'Finish Schedule'!$AE$6:$AE$305,0))="","",INDEX('Finish Schedule'!$P$6:$P$305,MATCH($B23,'Finish Schedule'!$AE$6:$AE$305,0))))</f>
        <v/>
      </c>
      <c r="I23" s="85" t="str">
        <f>IF($B23="","",IF(INDEX('Finish Schedule'!$O$6:$O$305,MATCH($B23,'Finish Schedule'!$AE$6:$AE$305,0))="","",INDEX('Finish Schedule'!$O$6:$O$305,MATCH($B23,'Finish Schedule'!$AE$6:$AE$305,0))))</f>
        <v/>
      </c>
      <c r="J23" s="86" t="str">
        <f>IF($B23="","",IF(INDEX('Finish Schedule'!$Q$6:$Q$305,MATCH($B23,'Finish Schedule'!$AE$6:$AE$305,0))="","",INDEX('Finish Schedule'!$Q$6:$Q$305,MATCH($B23,'Finish Schedule'!$AE$6:$AE$305,0))))</f>
        <v/>
      </c>
      <c r="K23" s="87" t="n"/>
    </row>
    <row r="24" ht="26" customHeight="1">
      <c r="B24" s="82" t="str">
        <f>IF(ROW()-11&gt;MAX('Finish Schedule'!$AE$6:$AE$305),"",ROW()-11)</f>
        <v/>
      </c>
      <c r="C24" s="83" t="str">
        <f>IF($B24="","",INDEX('Finish Schedule'!$D$6:$D$305,MATCH($B24,'Finish Schedule'!$AE$6:$AE$305,0))&amp;"")</f>
        <v/>
      </c>
      <c r="D24" s="84" t="str">
        <f>IF($B24="","",INDEX('Finish Schedule'!$C$6:$C$305,MATCH($B24,'Finish Schedule'!$AE$6:$AE$305,0))&amp;"")</f>
        <v/>
      </c>
      <c r="E24" s="84" t="str">
        <f>IF($B24="","",TRIM(INDEX('Finish Schedule'!$H$6:$H$305,MATCH($B24,'Finish Schedule'!$AE$6:$AE$305,0))&amp;" "&amp;INDEX('Finish Schedule'!$I$6:$I$305,MATCH($B24,'Finish Schedule'!$AE$6:$AE$305,0))))</f>
        <v/>
      </c>
      <c r="F24" s="84" t="str">
        <f>IF($B24="","",INDEX('Finish Schedule'!$J$6:$J$305,MATCH($B24,'Finish Schedule'!$AE$6:$AE$305,0))&amp;"")</f>
        <v/>
      </c>
      <c r="G24" s="82" t="str">
        <f>IF($B24="","",TRIM(INDEX('Finish Schedule'!$L$6:$L$305,MATCH($B24,'Finish Schedule'!$AE$6:$AE$305,0))&amp;" "&amp;INDEX('Finish Schedule'!$M$6:$M$305,MATCH($B24,'Finish Schedule'!$AE$6:$AE$305,0))))</f>
        <v/>
      </c>
      <c r="H24" s="85" t="str">
        <f>IF($B24="","",IF(INDEX('Finish Schedule'!$P$6:$P$305,MATCH($B24,'Finish Schedule'!$AE$6:$AE$305,0))="","",INDEX('Finish Schedule'!$P$6:$P$305,MATCH($B24,'Finish Schedule'!$AE$6:$AE$305,0))))</f>
        <v/>
      </c>
      <c r="I24" s="85" t="str">
        <f>IF($B24="","",IF(INDEX('Finish Schedule'!$O$6:$O$305,MATCH($B24,'Finish Schedule'!$AE$6:$AE$305,0))="","",INDEX('Finish Schedule'!$O$6:$O$305,MATCH($B24,'Finish Schedule'!$AE$6:$AE$305,0))))</f>
        <v/>
      </c>
      <c r="J24" s="86" t="str">
        <f>IF($B24="","",IF(INDEX('Finish Schedule'!$Q$6:$Q$305,MATCH($B24,'Finish Schedule'!$AE$6:$AE$305,0))="","",INDEX('Finish Schedule'!$Q$6:$Q$305,MATCH($B24,'Finish Schedule'!$AE$6:$AE$305,0))))</f>
        <v/>
      </c>
      <c r="K24" s="87" t="n"/>
    </row>
    <row r="25" ht="26" customHeight="1">
      <c r="B25" s="82" t="str">
        <f>IF(ROW()-11&gt;MAX('Finish Schedule'!$AE$6:$AE$305),"",ROW()-11)</f>
        <v/>
      </c>
      <c r="C25" s="83" t="str">
        <f>IF($B25="","",INDEX('Finish Schedule'!$D$6:$D$305,MATCH($B25,'Finish Schedule'!$AE$6:$AE$305,0))&amp;"")</f>
        <v/>
      </c>
      <c r="D25" s="84" t="str">
        <f>IF($B25="","",INDEX('Finish Schedule'!$C$6:$C$305,MATCH($B25,'Finish Schedule'!$AE$6:$AE$305,0))&amp;"")</f>
        <v/>
      </c>
      <c r="E25" s="84" t="str">
        <f>IF($B25="","",TRIM(INDEX('Finish Schedule'!$H$6:$H$305,MATCH($B25,'Finish Schedule'!$AE$6:$AE$305,0))&amp;" "&amp;INDEX('Finish Schedule'!$I$6:$I$305,MATCH($B25,'Finish Schedule'!$AE$6:$AE$305,0))))</f>
        <v/>
      </c>
      <c r="F25" s="84" t="str">
        <f>IF($B25="","",INDEX('Finish Schedule'!$J$6:$J$305,MATCH($B25,'Finish Schedule'!$AE$6:$AE$305,0))&amp;"")</f>
        <v/>
      </c>
      <c r="G25" s="82" t="str">
        <f>IF($B25="","",TRIM(INDEX('Finish Schedule'!$L$6:$L$305,MATCH($B25,'Finish Schedule'!$AE$6:$AE$305,0))&amp;" "&amp;INDEX('Finish Schedule'!$M$6:$M$305,MATCH($B25,'Finish Schedule'!$AE$6:$AE$305,0))))</f>
        <v/>
      </c>
      <c r="H25" s="85" t="str">
        <f>IF($B25="","",IF(INDEX('Finish Schedule'!$P$6:$P$305,MATCH($B25,'Finish Schedule'!$AE$6:$AE$305,0))="","",INDEX('Finish Schedule'!$P$6:$P$305,MATCH($B25,'Finish Schedule'!$AE$6:$AE$305,0))))</f>
        <v/>
      </c>
      <c r="I25" s="85" t="str">
        <f>IF($B25="","",IF(INDEX('Finish Schedule'!$O$6:$O$305,MATCH($B25,'Finish Schedule'!$AE$6:$AE$305,0))="","",INDEX('Finish Schedule'!$O$6:$O$305,MATCH($B25,'Finish Schedule'!$AE$6:$AE$305,0))))</f>
        <v/>
      </c>
      <c r="J25" s="86" t="str">
        <f>IF($B25="","",IF(INDEX('Finish Schedule'!$Q$6:$Q$305,MATCH($B25,'Finish Schedule'!$AE$6:$AE$305,0))="","",INDEX('Finish Schedule'!$Q$6:$Q$305,MATCH($B25,'Finish Schedule'!$AE$6:$AE$305,0))))</f>
        <v/>
      </c>
      <c r="K25" s="87" t="n"/>
    </row>
    <row r="26" ht="26" customHeight="1">
      <c r="B26" s="82" t="str">
        <f>IF(ROW()-11&gt;MAX('Finish Schedule'!$AE$6:$AE$305),"",ROW()-11)</f>
        <v/>
      </c>
      <c r="C26" s="83" t="str">
        <f>IF($B26="","",INDEX('Finish Schedule'!$D$6:$D$305,MATCH($B26,'Finish Schedule'!$AE$6:$AE$305,0))&amp;"")</f>
        <v/>
      </c>
      <c r="D26" s="84" t="str">
        <f>IF($B26="","",INDEX('Finish Schedule'!$C$6:$C$305,MATCH($B26,'Finish Schedule'!$AE$6:$AE$305,0))&amp;"")</f>
        <v/>
      </c>
      <c r="E26" s="84" t="str">
        <f>IF($B26="","",TRIM(INDEX('Finish Schedule'!$H$6:$H$305,MATCH($B26,'Finish Schedule'!$AE$6:$AE$305,0))&amp;" "&amp;INDEX('Finish Schedule'!$I$6:$I$305,MATCH($B26,'Finish Schedule'!$AE$6:$AE$305,0))))</f>
        <v/>
      </c>
      <c r="F26" s="84" t="str">
        <f>IF($B26="","",INDEX('Finish Schedule'!$J$6:$J$305,MATCH($B26,'Finish Schedule'!$AE$6:$AE$305,0))&amp;"")</f>
        <v/>
      </c>
      <c r="G26" s="82" t="str">
        <f>IF($B26="","",TRIM(INDEX('Finish Schedule'!$L$6:$L$305,MATCH($B26,'Finish Schedule'!$AE$6:$AE$305,0))&amp;" "&amp;INDEX('Finish Schedule'!$M$6:$M$305,MATCH($B26,'Finish Schedule'!$AE$6:$AE$305,0))))</f>
        <v/>
      </c>
      <c r="H26" s="85" t="str">
        <f>IF($B26="","",IF(INDEX('Finish Schedule'!$P$6:$P$305,MATCH($B26,'Finish Schedule'!$AE$6:$AE$305,0))="","",INDEX('Finish Schedule'!$P$6:$P$305,MATCH($B26,'Finish Schedule'!$AE$6:$AE$305,0))))</f>
        <v/>
      </c>
      <c r="I26" s="85" t="str">
        <f>IF($B26="","",IF(INDEX('Finish Schedule'!$O$6:$O$305,MATCH($B26,'Finish Schedule'!$AE$6:$AE$305,0))="","",INDEX('Finish Schedule'!$O$6:$O$305,MATCH($B26,'Finish Schedule'!$AE$6:$AE$305,0))))</f>
        <v/>
      </c>
      <c r="J26" s="86" t="str">
        <f>IF($B26="","",IF(INDEX('Finish Schedule'!$Q$6:$Q$305,MATCH($B26,'Finish Schedule'!$AE$6:$AE$305,0))="","",INDEX('Finish Schedule'!$Q$6:$Q$305,MATCH($B26,'Finish Schedule'!$AE$6:$AE$305,0))))</f>
        <v/>
      </c>
      <c r="K26" s="87" t="n"/>
    </row>
    <row r="27" ht="26" customHeight="1">
      <c r="B27" s="82" t="str">
        <f>IF(ROW()-11&gt;MAX('Finish Schedule'!$AE$6:$AE$305),"",ROW()-11)</f>
        <v/>
      </c>
      <c r="C27" s="83" t="str">
        <f>IF($B27="","",INDEX('Finish Schedule'!$D$6:$D$305,MATCH($B27,'Finish Schedule'!$AE$6:$AE$305,0))&amp;"")</f>
        <v/>
      </c>
      <c r="D27" s="84" t="str">
        <f>IF($B27="","",INDEX('Finish Schedule'!$C$6:$C$305,MATCH($B27,'Finish Schedule'!$AE$6:$AE$305,0))&amp;"")</f>
        <v/>
      </c>
      <c r="E27" s="84" t="str">
        <f>IF($B27="","",TRIM(INDEX('Finish Schedule'!$H$6:$H$305,MATCH($B27,'Finish Schedule'!$AE$6:$AE$305,0))&amp;" "&amp;INDEX('Finish Schedule'!$I$6:$I$305,MATCH($B27,'Finish Schedule'!$AE$6:$AE$305,0))))</f>
        <v/>
      </c>
      <c r="F27" s="84" t="str">
        <f>IF($B27="","",INDEX('Finish Schedule'!$J$6:$J$305,MATCH($B27,'Finish Schedule'!$AE$6:$AE$305,0))&amp;"")</f>
        <v/>
      </c>
      <c r="G27" s="82" t="str">
        <f>IF($B27="","",TRIM(INDEX('Finish Schedule'!$L$6:$L$305,MATCH($B27,'Finish Schedule'!$AE$6:$AE$305,0))&amp;" "&amp;INDEX('Finish Schedule'!$M$6:$M$305,MATCH($B27,'Finish Schedule'!$AE$6:$AE$305,0))))</f>
        <v/>
      </c>
      <c r="H27" s="85" t="str">
        <f>IF($B27="","",IF(INDEX('Finish Schedule'!$P$6:$P$305,MATCH($B27,'Finish Schedule'!$AE$6:$AE$305,0))="","",INDEX('Finish Schedule'!$P$6:$P$305,MATCH($B27,'Finish Schedule'!$AE$6:$AE$305,0))))</f>
        <v/>
      </c>
      <c r="I27" s="85" t="str">
        <f>IF($B27="","",IF(INDEX('Finish Schedule'!$O$6:$O$305,MATCH($B27,'Finish Schedule'!$AE$6:$AE$305,0))="","",INDEX('Finish Schedule'!$O$6:$O$305,MATCH($B27,'Finish Schedule'!$AE$6:$AE$305,0))))</f>
        <v/>
      </c>
      <c r="J27" s="86" t="str">
        <f>IF($B27="","",IF(INDEX('Finish Schedule'!$Q$6:$Q$305,MATCH($B27,'Finish Schedule'!$AE$6:$AE$305,0))="","",INDEX('Finish Schedule'!$Q$6:$Q$305,MATCH($B27,'Finish Schedule'!$AE$6:$AE$305,0))))</f>
        <v/>
      </c>
      <c r="K27" s="87" t="n"/>
    </row>
    <row r="28" ht="26" customHeight="1">
      <c r="B28" s="82" t="str">
        <f>IF(ROW()-11&gt;MAX('Finish Schedule'!$AE$6:$AE$305),"",ROW()-11)</f>
        <v/>
      </c>
      <c r="C28" s="83" t="str">
        <f>IF($B28="","",INDEX('Finish Schedule'!$D$6:$D$305,MATCH($B28,'Finish Schedule'!$AE$6:$AE$305,0))&amp;"")</f>
        <v/>
      </c>
      <c r="D28" s="84" t="str">
        <f>IF($B28="","",INDEX('Finish Schedule'!$C$6:$C$305,MATCH($B28,'Finish Schedule'!$AE$6:$AE$305,0))&amp;"")</f>
        <v/>
      </c>
      <c r="E28" s="84" t="str">
        <f>IF($B28="","",TRIM(INDEX('Finish Schedule'!$H$6:$H$305,MATCH($B28,'Finish Schedule'!$AE$6:$AE$305,0))&amp;" "&amp;INDEX('Finish Schedule'!$I$6:$I$305,MATCH($B28,'Finish Schedule'!$AE$6:$AE$305,0))))</f>
        <v/>
      </c>
      <c r="F28" s="84" t="str">
        <f>IF($B28="","",INDEX('Finish Schedule'!$J$6:$J$305,MATCH($B28,'Finish Schedule'!$AE$6:$AE$305,0))&amp;"")</f>
        <v/>
      </c>
      <c r="G28" s="82" t="str">
        <f>IF($B28="","",TRIM(INDEX('Finish Schedule'!$L$6:$L$305,MATCH($B28,'Finish Schedule'!$AE$6:$AE$305,0))&amp;" "&amp;INDEX('Finish Schedule'!$M$6:$M$305,MATCH($B28,'Finish Schedule'!$AE$6:$AE$305,0))))</f>
        <v/>
      </c>
      <c r="H28" s="85" t="str">
        <f>IF($B28="","",IF(INDEX('Finish Schedule'!$P$6:$P$305,MATCH($B28,'Finish Schedule'!$AE$6:$AE$305,0))="","",INDEX('Finish Schedule'!$P$6:$P$305,MATCH($B28,'Finish Schedule'!$AE$6:$AE$305,0))))</f>
        <v/>
      </c>
      <c r="I28" s="85" t="str">
        <f>IF($B28="","",IF(INDEX('Finish Schedule'!$O$6:$O$305,MATCH($B28,'Finish Schedule'!$AE$6:$AE$305,0))="","",INDEX('Finish Schedule'!$O$6:$O$305,MATCH($B28,'Finish Schedule'!$AE$6:$AE$305,0))))</f>
        <v/>
      </c>
      <c r="J28" s="86" t="str">
        <f>IF($B28="","",IF(INDEX('Finish Schedule'!$Q$6:$Q$305,MATCH($B28,'Finish Schedule'!$AE$6:$AE$305,0))="","",INDEX('Finish Schedule'!$Q$6:$Q$305,MATCH($B28,'Finish Schedule'!$AE$6:$AE$305,0))))</f>
        <v/>
      </c>
      <c r="K28" s="87" t="n"/>
    </row>
    <row r="29" ht="26" customHeight="1">
      <c r="B29" s="82" t="str">
        <f>IF(ROW()-11&gt;MAX('Finish Schedule'!$AE$6:$AE$305),"",ROW()-11)</f>
        <v/>
      </c>
      <c r="C29" s="83" t="str">
        <f>IF($B29="","",INDEX('Finish Schedule'!$D$6:$D$305,MATCH($B29,'Finish Schedule'!$AE$6:$AE$305,0))&amp;"")</f>
        <v/>
      </c>
      <c r="D29" s="84" t="str">
        <f>IF($B29="","",INDEX('Finish Schedule'!$C$6:$C$305,MATCH($B29,'Finish Schedule'!$AE$6:$AE$305,0))&amp;"")</f>
        <v/>
      </c>
      <c r="E29" s="84" t="str">
        <f>IF($B29="","",TRIM(INDEX('Finish Schedule'!$H$6:$H$305,MATCH($B29,'Finish Schedule'!$AE$6:$AE$305,0))&amp;" "&amp;INDEX('Finish Schedule'!$I$6:$I$305,MATCH($B29,'Finish Schedule'!$AE$6:$AE$305,0))))</f>
        <v/>
      </c>
      <c r="F29" s="84" t="str">
        <f>IF($B29="","",INDEX('Finish Schedule'!$J$6:$J$305,MATCH($B29,'Finish Schedule'!$AE$6:$AE$305,0))&amp;"")</f>
        <v/>
      </c>
      <c r="G29" s="82" t="str">
        <f>IF($B29="","",TRIM(INDEX('Finish Schedule'!$L$6:$L$305,MATCH($B29,'Finish Schedule'!$AE$6:$AE$305,0))&amp;" "&amp;INDEX('Finish Schedule'!$M$6:$M$305,MATCH($B29,'Finish Schedule'!$AE$6:$AE$305,0))))</f>
        <v/>
      </c>
      <c r="H29" s="85" t="str">
        <f>IF($B29="","",IF(INDEX('Finish Schedule'!$P$6:$P$305,MATCH($B29,'Finish Schedule'!$AE$6:$AE$305,0))="","",INDEX('Finish Schedule'!$P$6:$P$305,MATCH($B29,'Finish Schedule'!$AE$6:$AE$305,0))))</f>
        <v/>
      </c>
      <c r="I29" s="85" t="str">
        <f>IF($B29="","",IF(INDEX('Finish Schedule'!$O$6:$O$305,MATCH($B29,'Finish Schedule'!$AE$6:$AE$305,0))="","",INDEX('Finish Schedule'!$O$6:$O$305,MATCH($B29,'Finish Schedule'!$AE$6:$AE$305,0))))</f>
        <v/>
      </c>
      <c r="J29" s="86" t="str">
        <f>IF($B29="","",IF(INDEX('Finish Schedule'!$Q$6:$Q$305,MATCH($B29,'Finish Schedule'!$AE$6:$AE$305,0))="","",INDEX('Finish Schedule'!$Q$6:$Q$305,MATCH($B29,'Finish Schedule'!$AE$6:$AE$305,0))))</f>
        <v/>
      </c>
      <c r="K29" s="87" t="n"/>
    </row>
    <row r="30" ht="26" customHeight="1">
      <c r="B30" s="82" t="str">
        <f>IF(ROW()-11&gt;MAX('Finish Schedule'!$AE$6:$AE$305),"",ROW()-11)</f>
        <v/>
      </c>
      <c r="C30" s="83" t="str">
        <f>IF($B30="","",INDEX('Finish Schedule'!$D$6:$D$305,MATCH($B30,'Finish Schedule'!$AE$6:$AE$305,0))&amp;"")</f>
        <v/>
      </c>
      <c r="D30" s="84" t="str">
        <f>IF($B30="","",INDEX('Finish Schedule'!$C$6:$C$305,MATCH($B30,'Finish Schedule'!$AE$6:$AE$305,0))&amp;"")</f>
        <v/>
      </c>
      <c r="E30" s="84" t="str">
        <f>IF($B30="","",TRIM(INDEX('Finish Schedule'!$H$6:$H$305,MATCH($B30,'Finish Schedule'!$AE$6:$AE$305,0))&amp;" "&amp;INDEX('Finish Schedule'!$I$6:$I$305,MATCH($B30,'Finish Schedule'!$AE$6:$AE$305,0))))</f>
        <v/>
      </c>
      <c r="F30" s="84" t="str">
        <f>IF($B30="","",INDEX('Finish Schedule'!$J$6:$J$305,MATCH($B30,'Finish Schedule'!$AE$6:$AE$305,0))&amp;"")</f>
        <v/>
      </c>
      <c r="G30" s="82" t="str">
        <f>IF($B30="","",TRIM(INDEX('Finish Schedule'!$L$6:$L$305,MATCH($B30,'Finish Schedule'!$AE$6:$AE$305,0))&amp;" "&amp;INDEX('Finish Schedule'!$M$6:$M$305,MATCH($B30,'Finish Schedule'!$AE$6:$AE$305,0))))</f>
        <v/>
      </c>
      <c r="H30" s="85" t="str">
        <f>IF($B30="","",IF(INDEX('Finish Schedule'!$P$6:$P$305,MATCH($B30,'Finish Schedule'!$AE$6:$AE$305,0))="","",INDEX('Finish Schedule'!$P$6:$P$305,MATCH($B30,'Finish Schedule'!$AE$6:$AE$305,0))))</f>
        <v/>
      </c>
      <c r="I30" s="85" t="str">
        <f>IF($B30="","",IF(INDEX('Finish Schedule'!$O$6:$O$305,MATCH($B30,'Finish Schedule'!$AE$6:$AE$305,0))="","",INDEX('Finish Schedule'!$O$6:$O$305,MATCH($B30,'Finish Schedule'!$AE$6:$AE$305,0))))</f>
        <v/>
      </c>
      <c r="J30" s="86" t="str">
        <f>IF($B30="","",IF(INDEX('Finish Schedule'!$Q$6:$Q$305,MATCH($B30,'Finish Schedule'!$AE$6:$AE$305,0))="","",INDEX('Finish Schedule'!$Q$6:$Q$305,MATCH($B30,'Finish Schedule'!$AE$6:$AE$305,0))))</f>
        <v/>
      </c>
      <c r="K30" s="87" t="n"/>
    </row>
    <row r="31" ht="26" customHeight="1">
      <c r="B31" s="82" t="str">
        <f>IF(ROW()-11&gt;MAX('Finish Schedule'!$AE$6:$AE$305),"",ROW()-11)</f>
        <v/>
      </c>
      <c r="C31" s="83" t="str">
        <f>IF($B31="","",INDEX('Finish Schedule'!$D$6:$D$305,MATCH($B31,'Finish Schedule'!$AE$6:$AE$305,0))&amp;"")</f>
        <v/>
      </c>
      <c r="D31" s="84" t="str">
        <f>IF($B31="","",INDEX('Finish Schedule'!$C$6:$C$305,MATCH($B31,'Finish Schedule'!$AE$6:$AE$305,0))&amp;"")</f>
        <v/>
      </c>
      <c r="E31" s="84" t="str">
        <f>IF($B31="","",TRIM(INDEX('Finish Schedule'!$H$6:$H$305,MATCH($B31,'Finish Schedule'!$AE$6:$AE$305,0))&amp;" "&amp;INDEX('Finish Schedule'!$I$6:$I$305,MATCH($B31,'Finish Schedule'!$AE$6:$AE$305,0))))</f>
        <v/>
      </c>
      <c r="F31" s="84" t="str">
        <f>IF($B31="","",INDEX('Finish Schedule'!$J$6:$J$305,MATCH($B31,'Finish Schedule'!$AE$6:$AE$305,0))&amp;"")</f>
        <v/>
      </c>
      <c r="G31" s="82" t="str">
        <f>IF($B31="","",TRIM(INDEX('Finish Schedule'!$L$6:$L$305,MATCH($B31,'Finish Schedule'!$AE$6:$AE$305,0))&amp;" "&amp;INDEX('Finish Schedule'!$M$6:$M$305,MATCH($B31,'Finish Schedule'!$AE$6:$AE$305,0))))</f>
        <v/>
      </c>
      <c r="H31" s="85" t="str">
        <f>IF($B31="","",IF(INDEX('Finish Schedule'!$P$6:$P$305,MATCH($B31,'Finish Schedule'!$AE$6:$AE$305,0))="","",INDEX('Finish Schedule'!$P$6:$P$305,MATCH($B31,'Finish Schedule'!$AE$6:$AE$305,0))))</f>
        <v/>
      </c>
      <c r="I31" s="85" t="str">
        <f>IF($B31="","",IF(INDEX('Finish Schedule'!$O$6:$O$305,MATCH($B31,'Finish Schedule'!$AE$6:$AE$305,0))="","",INDEX('Finish Schedule'!$O$6:$O$305,MATCH($B31,'Finish Schedule'!$AE$6:$AE$305,0))))</f>
        <v/>
      </c>
      <c r="J31" s="86" t="str">
        <f>IF($B31="","",IF(INDEX('Finish Schedule'!$Q$6:$Q$305,MATCH($B31,'Finish Schedule'!$AE$6:$AE$305,0))="","",INDEX('Finish Schedule'!$Q$6:$Q$305,MATCH($B31,'Finish Schedule'!$AE$6:$AE$305,0))))</f>
        <v/>
      </c>
      <c r="K31" s="87" t="n"/>
    </row>
    <row r="32" ht="26" customHeight="1">
      <c r="B32" s="82" t="str">
        <f>IF(ROW()-11&gt;MAX('Finish Schedule'!$AE$6:$AE$305),"",ROW()-11)</f>
        <v/>
      </c>
      <c r="C32" s="83" t="str">
        <f>IF($B32="","",INDEX('Finish Schedule'!$D$6:$D$305,MATCH($B32,'Finish Schedule'!$AE$6:$AE$305,0))&amp;"")</f>
        <v/>
      </c>
      <c r="D32" s="84" t="str">
        <f>IF($B32="","",INDEX('Finish Schedule'!$C$6:$C$305,MATCH($B32,'Finish Schedule'!$AE$6:$AE$305,0))&amp;"")</f>
        <v/>
      </c>
      <c r="E32" s="84" t="str">
        <f>IF($B32="","",TRIM(INDEX('Finish Schedule'!$H$6:$H$305,MATCH($B32,'Finish Schedule'!$AE$6:$AE$305,0))&amp;" "&amp;INDEX('Finish Schedule'!$I$6:$I$305,MATCH($B32,'Finish Schedule'!$AE$6:$AE$305,0))))</f>
        <v/>
      </c>
      <c r="F32" s="84" t="str">
        <f>IF($B32="","",INDEX('Finish Schedule'!$J$6:$J$305,MATCH($B32,'Finish Schedule'!$AE$6:$AE$305,0))&amp;"")</f>
        <v/>
      </c>
      <c r="G32" s="82" t="str">
        <f>IF($B32="","",TRIM(INDEX('Finish Schedule'!$L$6:$L$305,MATCH($B32,'Finish Schedule'!$AE$6:$AE$305,0))&amp;" "&amp;INDEX('Finish Schedule'!$M$6:$M$305,MATCH($B32,'Finish Schedule'!$AE$6:$AE$305,0))))</f>
        <v/>
      </c>
      <c r="H32" s="85" t="str">
        <f>IF($B32="","",IF(INDEX('Finish Schedule'!$P$6:$P$305,MATCH($B32,'Finish Schedule'!$AE$6:$AE$305,0))="","",INDEX('Finish Schedule'!$P$6:$P$305,MATCH($B32,'Finish Schedule'!$AE$6:$AE$305,0))))</f>
        <v/>
      </c>
      <c r="I32" s="85" t="str">
        <f>IF($B32="","",IF(INDEX('Finish Schedule'!$O$6:$O$305,MATCH($B32,'Finish Schedule'!$AE$6:$AE$305,0))="","",INDEX('Finish Schedule'!$O$6:$O$305,MATCH($B32,'Finish Schedule'!$AE$6:$AE$305,0))))</f>
        <v/>
      </c>
      <c r="J32" s="86" t="str">
        <f>IF($B32="","",IF(INDEX('Finish Schedule'!$Q$6:$Q$305,MATCH($B32,'Finish Schedule'!$AE$6:$AE$305,0))="","",INDEX('Finish Schedule'!$Q$6:$Q$305,MATCH($B32,'Finish Schedule'!$AE$6:$AE$305,0))))</f>
        <v/>
      </c>
      <c r="K32" s="87" t="n"/>
    </row>
    <row r="33" ht="26" customHeight="1">
      <c r="B33" s="82" t="str">
        <f>IF(ROW()-11&gt;MAX('Finish Schedule'!$AE$6:$AE$305),"",ROW()-11)</f>
        <v/>
      </c>
      <c r="C33" s="83" t="str">
        <f>IF($B33="","",INDEX('Finish Schedule'!$D$6:$D$305,MATCH($B33,'Finish Schedule'!$AE$6:$AE$305,0))&amp;"")</f>
        <v/>
      </c>
      <c r="D33" s="84" t="str">
        <f>IF($B33="","",INDEX('Finish Schedule'!$C$6:$C$305,MATCH($B33,'Finish Schedule'!$AE$6:$AE$305,0))&amp;"")</f>
        <v/>
      </c>
      <c r="E33" s="84" t="str">
        <f>IF($B33="","",TRIM(INDEX('Finish Schedule'!$H$6:$H$305,MATCH($B33,'Finish Schedule'!$AE$6:$AE$305,0))&amp;" "&amp;INDEX('Finish Schedule'!$I$6:$I$305,MATCH($B33,'Finish Schedule'!$AE$6:$AE$305,0))))</f>
        <v/>
      </c>
      <c r="F33" s="84" t="str">
        <f>IF($B33="","",INDEX('Finish Schedule'!$J$6:$J$305,MATCH($B33,'Finish Schedule'!$AE$6:$AE$305,0))&amp;"")</f>
        <v/>
      </c>
      <c r="G33" s="82" t="str">
        <f>IF($B33="","",TRIM(INDEX('Finish Schedule'!$L$6:$L$305,MATCH($B33,'Finish Schedule'!$AE$6:$AE$305,0))&amp;" "&amp;INDEX('Finish Schedule'!$M$6:$M$305,MATCH($B33,'Finish Schedule'!$AE$6:$AE$305,0))))</f>
        <v/>
      </c>
      <c r="H33" s="85" t="str">
        <f>IF($B33="","",IF(INDEX('Finish Schedule'!$P$6:$P$305,MATCH($B33,'Finish Schedule'!$AE$6:$AE$305,0))="","",INDEX('Finish Schedule'!$P$6:$P$305,MATCH($B33,'Finish Schedule'!$AE$6:$AE$305,0))))</f>
        <v/>
      </c>
      <c r="I33" s="85" t="str">
        <f>IF($B33="","",IF(INDEX('Finish Schedule'!$O$6:$O$305,MATCH($B33,'Finish Schedule'!$AE$6:$AE$305,0))="","",INDEX('Finish Schedule'!$O$6:$O$305,MATCH($B33,'Finish Schedule'!$AE$6:$AE$305,0))))</f>
        <v/>
      </c>
      <c r="J33" s="86" t="str">
        <f>IF($B33="","",IF(INDEX('Finish Schedule'!$Q$6:$Q$305,MATCH($B33,'Finish Schedule'!$AE$6:$AE$305,0))="","",INDEX('Finish Schedule'!$Q$6:$Q$305,MATCH($B33,'Finish Schedule'!$AE$6:$AE$305,0))))</f>
        <v/>
      </c>
      <c r="K33" s="87" t="n"/>
    </row>
    <row r="34" ht="26" customHeight="1">
      <c r="B34" s="82" t="str">
        <f>IF(ROW()-11&gt;MAX('Finish Schedule'!$AE$6:$AE$305),"",ROW()-11)</f>
        <v/>
      </c>
      <c r="C34" s="83" t="str">
        <f>IF($B34="","",INDEX('Finish Schedule'!$D$6:$D$305,MATCH($B34,'Finish Schedule'!$AE$6:$AE$305,0))&amp;"")</f>
        <v/>
      </c>
      <c r="D34" s="84" t="str">
        <f>IF($B34="","",INDEX('Finish Schedule'!$C$6:$C$305,MATCH($B34,'Finish Schedule'!$AE$6:$AE$305,0))&amp;"")</f>
        <v/>
      </c>
      <c r="E34" s="84" t="str">
        <f>IF($B34="","",TRIM(INDEX('Finish Schedule'!$H$6:$H$305,MATCH($B34,'Finish Schedule'!$AE$6:$AE$305,0))&amp;" "&amp;INDEX('Finish Schedule'!$I$6:$I$305,MATCH($B34,'Finish Schedule'!$AE$6:$AE$305,0))))</f>
        <v/>
      </c>
      <c r="F34" s="84" t="str">
        <f>IF($B34="","",INDEX('Finish Schedule'!$J$6:$J$305,MATCH($B34,'Finish Schedule'!$AE$6:$AE$305,0))&amp;"")</f>
        <v/>
      </c>
      <c r="G34" s="82" t="str">
        <f>IF($B34="","",TRIM(INDEX('Finish Schedule'!$L$6:$L$305,MATCH($B34,'Finish Schedule'!$AE$6:$AE$305,0))&amp;" "&amp;INDEX('Finish Schedule'!$M$6:$M$305,MATCH($B34,'Finish Schedule'!$AE$6:$AE$305,0))))</f>
        <v/>
      </c>
      <c r="H34" s="85" t="str">
        <f>IF($B34="","",IF(INDEX('Finish Schedule'!$P$6:$P$305,MATCH($B34,'Finish Schedule'!$AE$6:$AE$305,0))="","",INDEX('Finish Schedule'!$P$6:$P$305,MATCH($B34,'Finish Schedule'!$AE$6:$AE$305,0))))</f>
        <v/>
      </c>
      <c r="I34" s="85" t="str">
        <f>IF($B34="","",IF(INDEX('Finish Schedule'!$O$6:$O$305,MATCH($B34,'Finish Schedule'!$AE$6:$AE$305,0))="","",INDEX('Finish Schedule'!$O$6:$O$305,MATCH($B34,'Finish Schedule'!$AE$6:$AE$305,0))))</f>
        <v/>
      </c>
      <c r="J34" s="86" t="str">
        <f>IF($B34="","",IF(INDEX('Finish Schedule'!$Q$6:$Q$305,MATCH($B34,'Finish Schedule'!$AE$6:$AE$305,0))="","",INDEX('Finish Schedule'!$Q$6:$Q$305,MATCH($B34,'Finish Schedule'!$AE$6:$AE$305,0))))</f>
        <v/>
      </c>
      <c r="K34" s="87" t="n"/>
    </row>
    <row r="35" ht="26" customHeight="1">
      <c r="B35" s="82" t="str">
        <f>IF(ROW()-11&gt;MAX('Finish Schedule'!$AE$6:$AE$305),"",ROW()-11)</f>
        <v/>
      </c>
      <c r="C35" s="83" t="str">
        <f>IF($B35="","",INDEX('Finish Schedule'!$D$6:$D$305,MATCH($B35,'Finish Schedule'!$AE$6:$AE$305,0))&amp;"")</f>
        <v/>
      </c>
      <c r="D35" s="84" t="str">
        <f>IF($B35="","",INDEX('Finish Schedule'!$C$6:$C$305,MATCH($B35,'Finish Schedule'!$AE$6:$AE$305,0))&amp;"")</f>
        <v/>
      </c>
      <c r="E35" s="84" t="str">
        <f>IF($B35="","",TRIM(INDEX('Finish Schedule'!$H$6:$H$305,MATCH($B35,'Finish Schedule'!$AE$6:$AE$305,0))&amp;" "&amp;INDEX('Finish Schedule'!$I$6:$I$305,MATCH($B35,'Finish Schedule'!$AE$6:$AE$305,0))))</f>
        <v/>
      </c>
      <c r="F35" s="84" t="str">
        <f>IF($B35="","",INDEX('Finish Schedule'!$J$6:$J$305,MATCH($B35,'Finish Schedule'!$AE$6:$AE$305,0))&amp;"")</f>
        <v/>
      </c>
      <c r="G35" s="82" t="str">
        <f>IF($B35="","",TRIM(INDEX('Finish Schedule'!$L$6:$L$305,MATCH($B35,'Finish Schedule'!$AE$6:$AE$305,0))&amp;" "&amp;INDEX('Finish Schedule'!$M$6:$M$305,MATCH($B35,'Finish Schedule'!$AE$6:$AE$305,0))))</f>
        <v/>
      </c>
      <c r="H35" s="85" t="str">
        <f>IF($B35="","",IF(INDEX('Finish Schedule'!$P$6:$P$305,MATCH($B35,'Finish Schedule'!$AE$6:$AE$305,0))="","",INDEX('Finish Schedule'!$P$6:$P$305,MATCH($B35,'Finish Schedule'!$AE$6:$AE$305,0))))</f>
        <v/>
      </c>
      <c r="I35" s="85" t="str">
        <f>IF($B35="","",IF(INDEX('Finish Schedule'!$O$6:$O$305,MATCH($B35,'Finish Schedule'!$AE$6:$AE$305,0))="","",INDEX('Finish Schedule'!$O$6:$O$305,MATCH($B35,'Finish Schedule'!$AE$6:$AE$305,0))))</f>
        <v/>
      </c>
      <c r="J35" s="86" t="str">
        <f>IF($B35="","",IF(INDEX('Finish Schedule'!$Q$6:$Q$305,MATCH($B35,'Finish Schedule'!$AE$6:$AE$305,0))="","",INDEX('Finish Schedule'!$Q$6:$Q$305,MATCH($B35,'Finish Schedule'!$AE$6:$AE$305,0))))</f>
        <v/>
      </c>
      <c r="K35" s="87" t="n"/>
    </row>
    <row r="36" ht="26" customHeight="1">
      <c r="B36" s="82" t="str">
        <f>IF(ROW()-11&gt;MAX('Finish Schedule'!$AE$6:$AE$305),"",ROW()-11)</f>
        <v/>
      </c>
      <c r="C36" s="83" t="str">
        <f>IF($B36="","",INDEX('Finish Schedule'!$D$6:$D$305,MATCH($B36,'Finish Schedule'!$AE$6:$AE$305,0))&amp;"")</f>
        <v/>
      </c>
      <c r="D36" s="84" t="str">
        <f>IF($B36="","",INDEX('Finish Schedule'!$C$6:$C$305,MATCH($B36,'Finish Schedule'!$AE$6:$AE$305,0))&amp;"")</f>
        <v/>
      </c>
      <c r="E36" s="84" t="str">
        <f>IF($B36="","",TRIM(INDEX('Finish Schedule'!$H$6:$H$305,MATCH($B36,'Finish Schedule'!$AE$6:$AE$305,0))&amp;" "&amp;INDEX('Finish Schedule'!$I$6:$I$305,MATCH($B36,'Finish Schedule'!$AE$6:$AE$305,0))))</f>
        <v/>
      </c>
      <c r="F36" s="84" t="str">
        <f>IF($B36="","",INDEX('Finish Schedule'!$J$6:$J$305,MATCH($B36,'Finish Schedule'!$AE$6:$AE$305,0))&amp;"")</f>
        <v/>
      </c>
      <c r="G36" s="82" t="str">
        <f>IF($B36="","",TRIM(INDEX('Finish Schedule'!$L$6:$L$305,MATCH($B36,'Finish Schedule'!$AE$6:$AE$305,0))&amp;" "&amp;INDEX('Finish Schedule'!$M$6:$M$305,MATCH($B36,'Finish Schedule'!$AE$6:$AE$305,0))))</f>
        <v/>
      </c>
      <c r="H36" s="85" t="str">
        <f>IF($B36="","",IF(INDEX('Finish Schedule'!$P$6:$P$305,MATCH($B36,'Finish Schedule'!$AE$6:$AE$305,0))="","",INDEX('Finish Schedule'!$P$6:$P$305,MATCH($B36,'Finish Schedule'!$AE$6:$AE$305,0))))</f>
        <v/>
      </c>
      <c r="I36" s="85" t="str">
        <f>IF($B36="","",IF(INDEX('Finish Schedule'!$O$6:$O$305,MATCH($B36,'Finish Schedule'!$AE$6:$AE$305,0))="","",INDEX('Finish Schedule'!$O$6:$O$305,MATCH($B36,'Finish Schedule'!$AE$6:$AE$305,0))))</f>
        <v/>
      </c>
      <c r="J36" s="86" t="str">
        <f>IF($B36="","",IF(INDEX('Finish Schedule'!$Q$6:$Q$305,MATCH($B36,'Finish Schedule'!$AE$6:$AE$305,0))="","",INDEX('Finish Schedule'!$Q$6:$Q$305,MATCH($B36,'Finish Schedule'!$AE$6:$AE$305,0))))</f>
        <v/>
      </c>
      <c r="K36" s="87" t="n"/>
    </row>
    <row r="37" ht="26" customHeight="1">
      <c r="B37" s="82" t="str">
        <f>IF(ROW()-11&gt;MAX('Finish Schedule'!$AE$6:$AE$305),"",ROW()-11)</f>
        <v/>
      </c>
      <c r="C37" s="83" t="str">
        <f>IF($B37="","",INDEX('Finish Schedule'!$D$6:$D$305,MATCH($B37,'Finish Schedule'!$AE$6:$AE$305,0))&amp;"")</f>
        <v/>
      </c>
      <c r="D37" s="84" t="str">
        <f>IF($B37="","",INDEX('Finish Schedule'!$C$6:$C$305,MATCH($B37,'Finish Schedule'!$AE$6:$AE$305,0))&amp;"")</f>
        <v/>
      </c>
      <c r="E37" s="84" t="str">
        <f>IF($B37="","",TRIM(INDEX('Finish Schedule'!$H$6:$H$305,MATCH($B37,'Finish Schedule'!$AE$6:$AE$305,0))&amp;" "&amp;INDEX('Finish Schedule'!$I$6:$I$305,MATCH($B37,'Finish Schedule'!$AE$6:$AE$305,0))))</f>
        <v/>
      </c>
      <c r="F37" s="84" t="str">
        <f>IF($B37="","",INDEX('Finish Schedule'!$J$6:$J$305,MATCH($B37,'Finish Schedule'!$AE$6:$AE$305,0))&amp;"")</f>
        <v/>
      </c>
      <c r="G37" s="82" t="str">
        <f>IF($B37="","",TRIM(INDEX('Finish Schedule'!$L$6:$L$305,MATCH($B37,'Finish Schedule'!$AE$6:$AE$305,0))&amp;" "&amp;INDEX('Finish Schedule'!$M$6:$M$305,MATCH($B37,'Finish Schedule'!$AE$6:$AE$305,0))))</f>
        <v/>
      </c>
      <c r="H37" s="85" t="str">
        <f>IF($B37="","",IF(INDEX('Finish Schedule'!$P$6:$P$305,MATCH($B37,'Finish Schedule'!$AE$6:$AE$305,0))="","",INDEX('Finish Schedule'!$P$6:$P$305,MATCH($B37,'Finish Schedule'!$AE$6:$AE$305,0))))</f>
        <v/>
      </c>
      <c r="I37" s="85" t="str">
        <f>IF($B37="","",IF(INDEX('Finish Schedule'!$O$6:$O$305,MATCH($B37,'Finish Schedule'!$AE$6:$AE$305,0))="","",INDEX('Finish Schedule'!$O$6:$O$305,MATCH($B37,'Finish Schedule'!$AE$6:$AE$305,0))))</f>
        <v/>
      </c>
      <c r="J37" s="86" t="str">
        <f>IF($B37="","",IF(INDEX('Finish Schedule'!$Q$6:$Q$305,MATCH($B37,'Finish Schedule'!$AE$6:$AE$305,0))="","",INDEX('Finish Schedule'!$Q$6:$Q$305,MATCH($B37,'Finish Schedule'!$AE$6:$AE$305,0))))</f>
        <v/>
      </c>
      <c r="K37" s="87" t="n"/>
    </row>
    <row r="38" ht="26" customHeight="1">
      <c r="B38" s="82" t="str">
        <f>IF(ROW()-11&gt;MAX('Finish Schedule'!$AE$6:$AE$305),"",ROW()-11)</f>
        <v/>
      </c>
      <c r="C38" s="83" t="str">
        <f>IF($B38="","",INDEX('Finish Schedule'!$D$6:$D$305,MATCH($B38,'Finish Schedule'!$AE$6:$AE$305,0))&amp;"")</f>
        <v/>
      </c>
      <c r="D38" s="84" t="str">
        <f>IF($B38="","",INDEX('Finish Schedule'!$C$6:$C$305,MATCH($B38,'Finish Schedule'!$AE$6:$AE$305,0))&amp;"")</f>
        <v/>
      </c>
      <c r="E38" s="84" t="str">
        <f>IF($B38="","",TRIM(INDEX('Finish Schedule'!$H$6:$H$305,MATCH($B38,'Finish Schedule'!$AE$6:$AE$305,0))&amp;" "&amp;INDEX('Finish Schedule'!$I$6:$I$305,MATCH($B38,'Finish Schedule'!$AE$6:$AE$305,0))))</f>
        <v/>
      </c>
      <c r="F38" s="84" t="str">
        <f>IF($B38="","",INDEX('Finish Schedule'!$J$6:$J$305,MATCH($B38,'Finish Schedule'!$AE$6:$AE$305,0))&amp;"")</f>
        <v/>
      </c>
      <c r="G38" s="82" t="str">
        <f>IF($B38="","",TRIM(INDEX('Finish Schedule'!$L$6:$L$305,MATCH($B38,'Finish Schedule'!$AE$6:$AE$305,0))&amp;" "&amp;INDEX('Finish Schedule'!$M$6:$M$305,MATCH($B38,'Finish Schedule'!$AE$6:$AE$305,0))))</f>
        <v/>
      </c>
      <c r="H38" s="85" t="str">
        <f>IF($B38="","",IF(INDEX('Finish Schedule'!$P$6:$P$305,MATCH($B38,'Finish Schedule'!$AE$6:$AE$305,0))="","",INDEX('Finish Schedule'!$P$6:$P$305,MATCH($B38,'Finish Schedule'!$AE$6:$AE$305,0))))</f>
        <v/>
      </c>
      <c r="I38" s="85" t="str">
        <f>IF($B38="","",IF(INDEX('Finish Schedule'!$O$6:$O$305,MATCH($B38,'Finish Schedule'!$AE$6:$AE$305,0))="","",INDEX('Finish Schedule'!$O$6:$O$305,MATCH($B38,'Finish Schedule'!$AE$6:$AE$305,0))))</f>
        <v/>
      </c>
      <c r="J38" s="86" t="str">
        <f>IF($B38="","",IF(INDEX('Finish Schedule'!$Q$6:$Q$305,MATCH($B38,'Finish Schedule'!$AE$6:$AE$305,0))="","",INDEX('Finish Schedule'!$Q$6:$Q$305,MATCH($B38,'Finish Schedule'!$AE$6:$AE$305,0))))</f>
        <v/>
      </c>
      <c r="K38" s="87" t="n"/>
    </row>
    <row r="39" ht="26" customHeight="1">
      <c r="B39" s="82" t="str">
        <f>IF(ROW()-11&gt;MAX('Finish Schedule'!$AE$6:$AE$305),"",ROW()-11)</f>
        <v/>
      </c>
      <c r="C39" s="83" t="str">
        <f>IF($B39="","",INDEX('Finish Schedule'!$D$6:$D$305,MATCH($B39,'Finish Schedule'!$AE$6:$AE$305,0))&amp;"")</f>
        <v/>
      </c>
      <c r="D39" s="84" t="str">
        <f>IF($B39="","",INDEX('Finish Schedule'!$C$6:$C$305,MATCH($B39,'Finish Schedule'!$AE$6:$AE$305,0))&amp;"")</f>
        <v/>
      </c>
      <c r="E39" s="84" t="str">
        <f>IF($B39="","",TRIM(INDEX('Finish Schedule'!$H$6:$H$305,MATCH($B39,'Finish Schedule'!$AE$6:$AE$305,0))&amp;" "&amp;INDEX('Finish Schedule'!$I$6:$I$305,MATCH($B39,'Finish Schedule'!$AE$6:$AE$305,0))))</f>
        <v/>
      </c>
      <c r="F39" s="84" t="str">
        <f>IF($B39="","",INDEX('Finish Schedule'!$J$6:$J$305,MATCH($B39,'Finish Schedule'!$AE$6:$AE$305,0))&amp;"")</f>
        <v/>
      </c>
      <c r="G39" s="82" t="str">
        <f>IF($B39="","",TRIM(INDEX('Finish Schedule'!$L$6:$L$305,MATCH($B39,'Finish Schedule'!$AE$6:$AE$305,0))&amp;" "&amp;INDEX('Finish Schedule'!$M$6:$M$305,MATCH($B39,'Finish Schedule'!$AE$6:$AE$305,0))))</f>
        <v/>
      </c>
      <c r="H39" s="85" t="str">
        <f>IF($B39="","",IF(INDEX('Finish Schedule'!$P$6:$P$305,MATCH($B39,'Finish Schedule'!$AE$6:$AE$305,0))="","",INDEX('Finish Schedule'!$P$6:$P$305,MATCH($B39,'Finish Schedule'!$AE$6:$AE$305,0))))</f>
        <v/>
      </c>
      <c r="I39" s="85" t="str">
        <f>IF($B39="","",IF(INDEX('Finish Schedule'!$O$6:$O$305,MATCH($B39,'Finish Schedule'!$AE$6:$AE$305,0))="","",INDEX('Finish Schedule'!$O$6:$O$305,MATCH($B39,'Finish Schedule'!$AE$6:$AE$305,0))))</f>
        <v/>
      </c>
      <c r="J39" s="86" t="str">
        <f>IF($B39="","",IF(INDEX('Finish Schedule'!$Q$6:$Q$305,MATCH($B39,'Finish Schedule'!$AE$6:$AE$305,0))="","",INDEX('Finish Schedule'!$Q$6:$Q$305,MATCH($B39,'Finish Schedule'!$AE$6:$AE$305,0))))</f>
        <v/>
      </c>
      <c r="K39" s="87" t="n"/>
    </row>
    <row r="40" ht="26" customHeight="1">
      <c r="B40" s="82" t="str">
        <f>IF(ROW()-11&gt;MAX('Finish Schedule'!$AE$6:$AE$305),"",ROW()-11)</f>
        <v/>
      </c>
      <c r="C40" s="83" t="str">
        <f>IF($B40="","",INDEX('Finish Schedule'!$D$6:$D$305,MATCH($B40,'Finish Schedule'!$AE$6:$AE$305,0))&amp;"")</f>
        <v/>
      </c>
      <c r="D40" s="84" t="str">
        <f>IF($B40="","",INDEX('Finish Schedule'!$C$6:$C$305,MATCH($B40,'Finish Schedule'!$AE$6:$AE$305,0))&amp;"")</f>
        <v/>
      </c>
      <c r="E40" s="84" t="str">
        <f>IF($B40="","",TRIM(INDEX('Finish Schedule'!$H$6:$H$305,MATCH($B40,'Finish Schedule'!$AE$6:$AE$305,0))&amp;" "&amp;INDEX('Finish Schedule'!$I$6:$I$305,MATCH($B40,'Finish Schedule'!$AE$6:$AE$305,0))))</f>
        <v/>
      </c>
      <c r="F40" s="84" t="str">
        <f>IF($B40="","",INDEX('Finish Schedule'!$J$6:$J$305,MATCH($B40,'Finish Schedule'!$AE$6:$AE$305,0))&amp;"")</f>
        <v/>
      </c>
      <c r="G40" s="82" t="str">
        <f>IF($B40="","",TRIM(INDEX('Finish Schedule'!$L$6:$L$305,MATCH($B40,'Finish Schedule'!$AE$6:$AE$305,0))&amp;" "&amp;INDEX('Finish Schedule'!$M$6:$M$305,MATCH($B40,'Finish Schedule'!$AE$6:$AE$305,0))))</f>
        <v/>
      </c>
      <c r="H40" s="85" t="str">
        <f>IF($B40="","",IF(INDEX('Finish Schedule'!$P$6:$P$305,MATCH($B40,'Finish Schedule'!$AE$6:$AE$305,0))="","",INDEX('Finish Schedule'!$P$6:$P$305,MATCH($B40,'Finish Schedule'!$AE$6:$AE$305,0))))</f>
        <v/>
      </c>
      <c r="I40" s="85" t="str">
        <f>IF($B40="","",IF(INDEX('Finish Schedule'!$O$6:$O$305,MATCH($B40,'Finish Schedule'!$AE$6:$AE$305,0))="","",INDEX('Finish Schedule'!$O$6:$O$305,MATCH($B40,'Finish Schedule'!$AE$6:$AE$305,0))))</f>
        <v/>
      </c>
      <c r="J40" s="86" t="str">
        <f>IF($B40="","",IF(INDEX('Finish Schedule'!$Q$6:$Q$305,MATCH($B40,'Finish Schedule'!$AE$6:$AE$305,0))="","",INDEX('Finish Schedule'!$Q$6:$Q$305,MATCH($B40,'Finish Schedule'!$AE$6:$AE$305,0))))</f>
        <v/>
      </c>
      <c r="K40" s="87" t="n"/>
    </row>
    <row r="41" ht="26" customHeight="1">
      <c r="B41" s="82" t="str">
        <f>IF(ROW()-11&gt;MAX('Finish Schedule'!$AE$6:$AE$305),"",ROW()-11)</f>
        <v/>
      </c>
      <c r="C41" s="83" t="str">
        <f>IF($B41="","",INDEX('Finish Schedule'!$D$6:$D$305,MATCH($B41,'Finish Schedule'!$AE$6:$AE$305,0))&amp;"")</f>
        <v/>
      </c>
      <c r="D41" s="84" t="str">
        <f>IF($B41="","",INDEX('Finish Schedule'!$C$6:$C$305,MATCH($B41,'Finish Schedule'!$AE$6:$AE$305,0))&amp;"")</f>
        <v/>
      </c>
      <c r="E41" s="84" t="str">
        <f>IF($B41="","",TRIM(INDEX('Finish Schedule'!$H$6:$H$305,MATCH($B41,'Finish Schedule'!$AE$6:$AE$305,0))&amp;" "&amp;INDEX('Finish Schedule'!$I$6:$I$305,MATCH($B41,'Finish Schedule'!$AE$6:$AE$305,0))))</f>
        <v/>
      </c>
      <c r="F41" s="84" t="str">
        <f>IF($B41="","",INDEX('Finish Schedule'!$J$6:$J$305,MATCH($B41,'Finish Schedule'!$AE$6:$AE$305,0))&amp;"")</f>
        <v/>
      </c>
      <c r="G41" s="82" t="str">
        <f>IF($B41="","",TRIM(INDEX('Finish Schedule'!$L$6:$L$305,MATCH($B41,'Finish Schedule'!$AE$6:$AE$305,0))&amp;" "&amp;INDEX('Finish Schedule'!$M$6:$M$305,MATCH($B41,'Finish Schedule'!$AE$6:$AE$305,0))))</f>
        <v/>
      </c>
      <c r="H41" s="85" t="str">
        <f>IF($B41="","",IF(INDEX('Finish Schedule'!$P$6:$P$305,MATCH($B41,'Finish Schedule'!$AE$6:$AE$305,0))="","",INDEX('Finish Schedule'!$P$6:$P$305,MATCH($B41,'Finish Schedule'!$AE$6:$AE$305,0))))</f>
        <v/>
      </c>
      <c r="I41" s="85" t="str">
        <f>IF($B41="","",IF(INDEX('Finish Schedule'!$O$6:$O$305,MATCH($B41,'Finish Schedule'!$AE$6:$AE$305,0))="","",INDEX('Finish Schedule'!$O$6:$O$305,MATCH($B41,'Finish Schedule'!$AE$6:$AE$305,0))))</f>
        <v/>
      </c>
      <c r="J41" s="86" t="str">
        <f>IF($B41="","",IF(INDEX('Finish Schedule'!$Q$6:$Q$305,MATCH($B41,'Finish Schedule'!$AE$6:$AE$305,0))="","",INDEX('Finish Schedule'!$Q$6:$Q$305,MATCH($B41,'Finish Schedule'!$AE$6:$AE$305,0))))</f>
        <v/>
      </c>
      <c r="K41" s="87" t="n"/>
    </row>
    <row r="42">
      <c r="B42" s="88" t="n"/>
      <c r="C42" s="88" t="n"/>
      <c r="D42" s="88" t="n"/>
      <c r="E42" s="88" t="n"/>
      <c r="F42" s="88" t="n"/>
      <c r="G42" s="89" t="inlineStr">
        <is>
          <t>Totals</t>
        </is>
      </c>
      <c r="H42" s="90">
        <f>SUM(H12:H41)</f>
        <v>4100</v>
      </c>
      <c r="I42" s="90">
        <f>SUM(I12:I41)</f>
        <v>5814</v>
      </c>
      <c r="J42" s="91">
        <f>SUM(J12:J41)</f>
        <v>255</v>
      </c>
      <c r="K42" s="88" t="n"/>
    </row>
    <row r="44">
      <c r="B44" s="92" t="inlineStr">
        <is>
          <t>Selections in this room that are over their allowance, not yet approved:</t>
        </is>
      </c>
      <c r="I44" s="93">
        <f>SUMIFS('Finish Schedule'!$AB$6:$AB$305,'Finish Schedule'!$B$6:$B$305,$D$7)</f>
        <v>0</v>
      </c>
    </row>
    <row r="46">
      <c r="B46" s="94" t="inlineStr">
        <is>
          <t>By signing, I approve the selections above, including any amount over allowance, and understand changes after this date may affect cost and schedule and will be handled by written change order.</t>
        </is>
      </c>
    </row>
    <row r="47"/>
    <row r="50" ht="30" customHeight="1">
      <c r="B50" s="95" t="n"/>
      <c r="C50" s="95" t="n"/>
      <c r="D50" s="95" t="n"/>
      <c r="E50" s="95" t="n"/>
      <c r="G50" s="95" t="n"/>
      <c r="H50" s="95" t="n"/>
      <c r="I50" s="95" t="n"/>
      <c r="J50" s="95" t="n"/>
      <c r="K50" s="95" t="n"/>
    </row>
    <row r="51">
      <c r="B51" s="96" t="inlineStr">
        <is>
          <t>Client signature                          Date</t>
        </is>
      </c>
      <c r="G51" s="96" t="inlineStr">
        <is>
          <t>Builder signature                          Date</t>
        </is>
      </c>
    </row>
    <row r="53">
      <c r="B53" s="97" t="str">
        <f>"Prepared with the Finish Schedule Template from Spec Sheet Builder.  "&amp;Project!$C$6</f>
        <v>Prepared with the Finish Schedule Template from Spec Sheet Builder.  Lakeshore Residence (sample)</v>
      </c>
    </row>
  </sheetData>
  <mergeCells count="9">
    <mergeCell ref="I44:J44"/>
    <mergeCell ref="D5:F5"/>
    <mergeCell ref="B9:K9"/>
    <mergeCell ref="B44:H44"/>
    <mergeCell ref="D4:F4"/>
    <mergeCell ref="B46:K47"/>
    <mergeCell ref="D7:F7"/>
    <mergeCell ref="D8:F8"/>
    <mergeCell ref="D6:F6"/>
  </mergeCells>
  <conditionalFormatting sqref="J12:J41">
    <cfRule type="expression" priority="1" dxfId="2" stopIfTrue="0">
      <formula>AND(ISNUMBER(J12),J12&gt;0)</formula>
    </cfRule>
    <cfRule type="expression" priority="2" dxfId="3" stopIfTrue="0">
      <formula>AND(ISNUMBER(J12),J12&lt;0)</formula>
    </cfRule>
  </conditionalFormatting>
  <dataValidations count="1">
    <dataValidation sqref="D7" showDropDown="0" showInputMessage="1" showErrorMessage="1" allowBlank="1" errorTitle="Not on the list" error="That value is not on the Lists tab. Add it there, or pick from the dropdown." promptTitle="Pick one" prompt="Pick the room to print. The table fills itself from the Finish Schedule." type="list" errorStyle="warning">
      <formula1>=Lists!$C$4:$C$33</formula1>
    </dataValidation>
  </dataValidations>
  <pageMargins left="0.4" right="0.4" top="0.5" bottom="0.5" header="0.5" footer="0.5"/>
  <pageSetup orientation="portrait" paperSize="1" fitToHeight="1" fitToWidth="1"/>
</worksheet>
</file>

<file path=xl/worksheets/sheet8.xml><?xml version="1.0" encoding="utf-8"?>
<worksheet xmlns="http://schemas.openxmlformats.org/spreadsheetml/2006/main">
  <sheetPr>
    <tabColor rgb="009A9A9A"/>
    <outlinePr summaryBelow="1" summaryRight="1"/>
    <pageSetUpPr fitToPage="1"/>
  </sheetPr>
  <dimension ref="A1:M33"/>
  <sheetViews>
    <sheetView showGridLines="0" workbookViewId="0">
      <pane ySplit="3" topLeftCell="A4" activePane="bottomLeft" state="frozen"/>
      <selection pane="bottomLeft" activeCell="A1" sqref="A1"/>
    </sheetView>
  </sheetViews>
  <sheetFormatPr baseColWidth="8" defaultRowHeight="15"/>
  <cols>
    <col width="20" customWidth="1" min="1" max="1"/>
    <col width="3" customWidth="1" min="2" max="2"/>
    <col width="26" customWidth="1" min="3" max="3"/>
    <col width="3" customWidth="1" min="4" max="4"/>
    <col width="26" customWidth="1" min="5" max="5"/>
    <col width="3" customWidth="1" min="6" max="6"/>
    <col width="20" customWidth="1" min="7" max="7"/>
    <col width="3" customWidth="1" min="8" max="8"/>
    <col width="20" customWidth="1" min="9" max="9"/>
    <col width="3" customWidth="1" min="10" max="10"/>
    <col width="20" customWidth="1" min="11" max="11"/>
    <col width="3" customWidth="1" min="12" max="12"/>
    <col width="20" customWidth="1" min="13" max="13"/>
  </cols>
  <sheetData>
    <row r="1">
      <c r="A1" s="98" t="inlineStr">
        <is>
          <t>Lists</t>
        </is>
      </c>
    </row>
    <row r="2">
      <c r="A2" s="73" t="inlineStr">
        <is>
          <t>Edit these to match how you build. Dropdowns on every tab read from here. Add to the blank spares; do not insert rows above row 4.</t>
        </is>
      </c>
    </row>
    <row r="3">
      <c r="A3" s="99" t="inlineStr">
        <is>
          <t>Decide-By Phases</t>
        </is>
      </c>
      <c r="C3" s="99" t="inlineStr">
        <is>
          <t>Rooms</t>
        </is>
      </c>
      <c r="E3" s="99" t="inlineStr">
        <is>
          <t>Categories</t>
        </is>
      </c>
      <c r="G3" s="99" t="inlineStr">
        <is>
          <t>Units</t>
        </is>
      </c>
      <c r="I3" s="99" t="inlineStr">
        <is>
          <t>Statuses</t>
        </is>
      </c>
      <c r="K3" s="99" t="inlineStr">
        <is>
          <t>CO Types</t>
        </is>
      </c>
      <c r="M3" s="99" t="inlineStr">
        <is>
          <t>CO Statuses</t>
        </is>
      </c>
    </row>
    <row r="4">
      <c r="A4" s="62" t="inlineStr">
        <is>
          <t>Before you dig</t>
        </is>
      </c>
      <c r="C4" s="62" t="inlineStr">
        <is>
          <t>Kitchen</t>
        </is>
      </c>
      <c r="E4" s="62" t="inlineStr">
        <is>
          <t>Flooring</t>
        </is>
      </c>
      <c r="G4" s="62" t="inlineStr">
        <is>
          <t>ea</t>
        </is>
      </c>
      <c r="I4" s="62" t="inlineStr">
        <is>
          <t>Pending</t>
        </is>
      </c>
      <c r="K4" s="62" t="inlineStr">
        <is>
          <t>Client swap</t>
        </is>
      </c>
      <c r="M4" s="62" t="inlineStr">
        <is>
          <t>Draft</t>
        </is>
      </c>
    </row>
    <row r="5">
      <c r="A5" s="62" t="inlineStr">
        <is>
          <t>Before rough-in</t>
        </is>
      </c>
      <c r="C5" s="62" t="inlineStr">
        <is>
          <t>Pantry</t>
        </is>
      </c>
      <c r="E5" s="62" t="inlineStr">
        <is>
          <t>Tile</t>
        </is>
      </c>
      <c r="G5" s="62" t="inlineStr">
        <is>
          <t>sf</t>
        </is>
      </c>
      <c r="I5" s="62" t="inlineStr">
        <is>
          <t>Options Sent</t>
        </is>
      </c>
      <c r="K5" s="62" t="inlineStr">
        <is>
          <t>Over allowance</t>
        </is>
      </c>
      <c r="M5" s="62" t="inlineStr">
        <is>
          <t>Sent</t>
        </is>
      </c>
    </row>
    <row r="6">
      <c r="A6" s="62" t="inlineStr">
        <is>
          <t>Before drywall</t>
        </is>
      </c>
      <c r="C6" s="62" t="inlineStr">
        <is>
          <t>Dining</t>
        </is>
      </c>
      <c r="E6" s="62" t="inlineStr">
        <is>
          <t>Plumbing Fixtures</t>
        </is>
      </c>
      <c r="G6" s="62" t="inlineStr">
        <is>
          <t>lf</t>
        </is>
      </c>
      <c r="I6" s="62" t="inlineStr">
        <is>
          <t>Selected</t>
        </is>
      </c>
      <c r="K6" s="62" t="inlineStr">
        <is>
          <t>Added scope</t>
        </is>
      </c>
      <c r="M6" s="62" t="inlineStr">
        <is>
          <t>Signed</t>
        </is>
      </c>
    </row>
    <row r="7">
      <c r="A7" s="62" t="inlineStr">
        <is>
          <t>Before install</t>
        </is>
      </c>
      <c r="C7" s="62" t="inlineStr">
        <is>
          <t>Great Room</t>
        </is>
      </c>
      <c r="E7" s="62" t="inlineStr">
        <is>
          <t>Lighting</t>
        </is>
      </c>
      <c r="G7" s="62" t="inlineStr">
        <is>
          <t>sy</t>
        </is>
      </c>
      <c r="I7" s="62" t="inlineStr">
        <is>
          <t>Approved</t>
        </is>
      </c>
      <c r="K7" s="62" t="inlineStr">
        <is>
          <t>Unforeseen</t>
        </is>
      </c>
      <c r="M7" s="62" t="inlineStr">
        <is>
          <t>Void</t>
        </is>
      </c>
    </row>
    <row r="8">
      <c r="C8" s="62" t="inlineStr">
        <is>
          <t>Entry / Foyer</t>
        </is>
      </c>
      <c r="E8" s="62" t="inlineStr">
        <is>
          <t>Cabinetry</t>
        </is>
      </c>
      <c r="G8" s="62" t="inlineStr">
        <is>
          <t>sq</t>
        </is>
      </c>
      <c r="I8" s="62" t="inlineStr">
        <is>
          <t>Ordered</t>
        </is>
      </c>
    </row>
    <row r="9">
      <c r="C9" s="62" t="inlineStr">
        <is>
          <t>Mudroom</t>
        </is>
      </c>
      <c r="E9" s="62" t="inlineStr">
        <is>
          <t>Countertops</t>
        </is>
      </c>
      <c r="G9" s="62" t="inlineStr">
        <is>
          <t>set</t>
        </is>
      </c>
      <c r="I9" s="62" t="inlineStr">
        <is>
          <t>Received</t>
        </is>
      </c>
    </row>
    <row r="10">
      <c r="A10" s="16" t="inlineStr">
        <is>
          <t>Phases are fixed: their dates live on the Project tab.</t>
        </is>
      </c>
      <c r="C10" s="62" t="inlineStr">
        <is>
          <t>Laundry</t>
        </is>
      </c>
      <c r="E10" s="62" t="inlineStr">
        <is>
          <t>Cabinet Hardware</t>
        </is>
      </c>
      <c r="G10" s="62" t="inlineStr">
        <is>
          <t>pr</t>
        </is>
      </c>
      <c r="I10" s="62" t="inlineStr">
        <is>
          <t>Installed</t>
        </is>
      </c>
    </row>
    <row r="11">
      <c r="C11" s="62" t="inlineStr">
        <is>
          <t>Powder Room</t>
        </is>
      </c>
      <c r="E11" s="62" t="inlineStr">
        <is>
          <t>Appliances</t>
        </is>
      </c>
      <c r="G11" s="62" t="inlineStr">
        <is>
          <t>gal</t>
        </is>
      </c>
      <c r="I11" s="62" t="inlineStr">
        <is>
          <t>On Hold</t>
        </is>
      </c>
    </row>
    <row r="12">
      <c r="C12" s="62" t="inlineStr">
        <is>
          <t>Primary Bedroom</t>
        </is>
      </c>
      <c r="E12" s="62" t="inlineStr">
        <is>
          <t>Door Hardware</t>
        </is>
      </c>
      <c r="G12" s="62" t="inlineStr">
        <is>
          <t>box</t>
        </is>
      </c>
    </row>
    <row r="13">
      <c r="C13" s="62" t="inlineStr">
        <is>
          <t>Primary Bath</t>
        </is>
      </c>
      <c r="E13" s="62" t="inlineStr">
        <is>
          <t>Interior Doors</t>
        </is>
      </c>
      <c r="G13" s="62" t="inlineStr">
        <is>
          <t>lot</t>
        </is>
      </c>
      <c r="I13" s="16" t="inlineStr">
        <is>
          <t>Statuses drive colors and counts. Rename with care.</t>
        </is>
      </c>
    </row>
    <row r="14">
      <c r="C14" s="62" t="inlineStr">
        <is>
          <t>Primary Closet</t>
        </is>
      </c>
      <c r="E14" s="62" t="inlineStr">
        <is>
          <t>Trim &amp; Millwork</t>
        </is>
      </c>
      <c r="G14" s="62" t="n"/>
    </row>
    <row r="15">
      <c r="C15" s="62" t="inlineStr">
        <is>
          <t>Guest Bath</t>
        </is>
      </c>
      <c r="E15" s="62" t="inlineStr">
        <is>
          <t>Paint</t>
        </is>
      </c>
      <c r="G15" s="62" t="n"/>
    </row>
    <row r="16">
      <c r="C16" s="62" t="inlineStr">
        <is>
          <t>Bedroom 2</t>
        </is>
      </c>
      <c r="E16" s="62" t="inlineStr">
        <is>
          <t>Mirrors &amp; Accessories</t>
        </is>
      </c>
    </row>
    <row r="17">
      <c r="C17" s="62" t="inlineStr">
        <is>
          <t>Bedroom 3</t>
        </is>
      </c>
      <c r="E17" s="62" t="inlineStr">
        <is>
          <t>Shower Glass</t>
        </is>
      </c>
    </row>
    <row r="18">
      <c r="C18" s="62" t="inlineStr">
        <is>
          <t>Hall Bath</t>
        </is>
      </c>
      <c r="E18" s="62" t="inlineStr">
        <is>
          <t>Windows &amp; Exterior Doors</t>
        </is>
      </c>
    </row>
    <row r="19">
      <c r="C19" s="62" t="inlineStr">
        <is>
          <t>Office</t>
        </is>
      </c>
      <c r="E19" s="62" t="inlineStr">
        <is>
          <t>Roofing</t>
        </is>
      </c>
    </row>
    <row r="20">
      <c r="C20" s="62" t="inlineStr">
        <is>
          <t>Bonus Room</t>
        </is>
      </c>
      <c r="E20" s="62" t="inlineStr">
        <is>
          <t>Siding &amp; Exterior</t>
        </is>
      </c>
    </row>
    <row r="21">
      <c r="C21" s="62" t="inlineStr">
        <is>
          <t>Garage</t>
        </is>
      </c>
      <c r="E21" s="62" t="inlineStr">
        <is>
          <t>Fireplace</t>
        </is>
      </c>
    </row>
    <row r="22">
      <c r="C22" s="62" t="inlineStr">
        <is>
          <t>Exterior</t>
        </is>
      </c>
      <c r="E22" s="62" t="inlineStr">
        <is>
          <t>Electrical Devices</t>
        </is>
      </c>
    </row>
    <row r="23">
      <c r="C23" s="62" t="inlineStr">
        <is>
          <t>Whole House</t>
        </is>
      </c>
      <c r="E23" s="62" t="inlineStr">
        <is>
          <t>Other</t>
        </is>
      </c>
    </row>
    <row r="24">
      <c r="C24" s="62" t="n"/>
      <c r="E24" s="62" t="n"/>
    </row>
    <row r="25">
      <c r="C25" s="62" t="n"/>
      <c r="E25" s="62" t="n"/>
    </row>
    <row r="26">
      <c r="C26" s="62" t="n"/>
      <c r="E26" s="62" t="n"/>
    </row>
    <row r="27">
      <c r="C27" s="62" t="n"/>
      <c r="E27" s="62" t="n"/>
    </row>
    <row r="28">
      <c r="C28" s="62" t="n"/>
      <c r="E28" s="62" t="n"/>
    </row>
    <row r="29">
      <c r="C29" s="62" t="n"/>
      <c r="E29" s="62" t="n"/>
    </row>
    <row r="30">
      <c r="C30" s="62" t="n"/>
      <c r="E30" s="62" t="n"/>
    </row>
    <row r="31">
      <c r="C31" s="62" t="n"/>
      <c r="E31" s="62" t="n"/>
    </row>
    <row r="32">
      <c r="C32" s="62" t="n"/>
      <c r="E32" s="62" t="n"/>
    </row>
    <row r="33">
      <c r="C33" s="62" t="n"/>
      <c r="E33" s="62" t="n"/>
    </row>
  </sheetData>
  <pageMargins left="0.75" right="0.75" top="1" bottom="1" header="0.5" footer="0.5"/>
  <pageSetup orientation="landscape"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2026-09-21T03:45:59Z</dcterms:created>
  <dcterms:modified xmlns:dcterms="http://purl.org/dc/terms/" xmlns:xsi="http://www.w3.org/2001/XMLSchema-instance" xsi:type="dcterms:W3CDTF">2026-09-21T03:46:00Z</dcterms:modified>
</cp:coreProperties>
</file>